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blic\compartida\transparencia pendientes\"/>
    </mc:Choice>
  </mc:AlternateContent>
  <bookViews>
    <workbookView xWindow="0" yWindow="0" windowWidth="20490" windowHeight="7755"/>
  </bookViews>
  <sheets>
    <sheet name="PLANTILLA 2021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5" l="1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5" i="5"/>
  <c r="H105" i="5"/>
  <c r="I105" i="5"/>
  <c r="J105" i="5"/>
  <c r="K105" i="5"/>
  <c r="L105" i="5"/>
  <c r="M105" i="5"/>
  <c r="N105" i="5"/>
  <c r="G105" i="5"/>
  <c r="G104" i="5"/>
  <c r="G103" i="5"/>
  <c r="G102" i="5"/>
  <c r="G91" i="5"/>
  <c r="G90" i="5"/>
  <c r="G89" i="5"/>
  <c r="G87" i="5"/>
  <c r="G86" i="5"/>
  <c r="G85" i="5"/>
  <c r="G84" i="5"/>
  <c r="G83" i="5"/>
  <c r="G82" i="5"/>
  <c r="H85" i="5" l="1"/>
  <c r="O85" i="5" s="1"/>
  <c r="H86" i="5"/>
  <c r="O86" i="5" s="1"/>
  <c r="H87" i="5"/>
  <c r="O87" i="5" s="1"/>
  <c r="H88" i="5"/>
  <c r="O88" i="5" s="1"/>
  <c r="H89" i="5"/>
  <c r="O89" i="5" s="1"/>
  <c r="H90" i="5"/>
  <c r="O90" i="5"/>
  <c r="H91" i="5"/>
  <c r="O91" i="5" s="1"/>
  <c r="H92" i="5"/>
  <c r="O92" i="5" s="1"/>
  <c r="H93" i="5"/>
  <c r="O93" i="5" s="1"/>
  <c r="H94" i="5"/>
  <c r="O94" i="5" s="1"/>
  <c r="H95" i="5"/>
  <c r="O95" i="5" s="1"/>
  <c r="H96" i="5"/>
  <c r="O96" i="5" s="1"/>
  <c r="H97" i="5"/>
  <c r="O97" i="5" s="1"/>
  <c r="H98" i="5"/>
  <c r="O98" i="5" s="1"/>
  <c r="H99" i="5"/>
  <c r="O99" i="5" s="1"/>
  <c r="H100" i="5"/>
  <c r="O100" i="5" s="1"/>
  <c r="H101" i="5"/>
  <c r="O101" i="5" s="1"/>
  <c r="H102" i="5"/>
  <c r="O102" i="5" s="1"/>
  <c r="H103" i="5"/>
  <c r="O103" i="5" s="1"/>
  <c r="H104" i="5"/>
  <c r="O104" i="5"/>
  <c r="G80" i="5"/>
  <c r="H80" i="5" s="1"/>
  <c r="O80" i="5" s="1"/>
  <c r="H81" i="5"/>
  <c r="O81" i="5" s="1"/>
  <c r="H82" i="5"/>
  <c r="O82" i="5" s="1"/>
  <c r="H83" i="5"/>
  <c r="O83" i="5"/>
  <c r="H84" i="5"/>
  <c r="O84" i="5" s="1"/>
  <c r="G79" i="5"/>
  <c r="H79" i="5"/>
  <c r="O79" i="5" s="1"/>
  <c r="G78" i="5"/>
  <c r="H42" i="5"/>
  <c r="H60" i="5"/>
  <c r="H61" i="5"/>
  <c r="H78" i="5"/>
  <c r="O78" i="5" s="1"/>
  <c r="G77" i="5"/>
  <c r="H77" i="5" s="1"/>
  <c r="O77" i="5" s="1"/>
  <c r="G73" i="5"/>
  <c r="H73" i="5" s="1"/>
  <c r="G76" i="5"/>
  <c r="H76" i="5" s="1"/>
  <c r="G75" i="5"/>
  <c r="H75" i="5" s="1"/>
  <c r="G74" i="5"/>
  <c r="H74" i="5" s="1"/>
  <c r="G68" i="5"/>
  <c r="H68" i="5" s="1"/>
  <c r="G72" i="5"/>
  <c r="H72" i="5" s="1"/>
  <c r="G71" i="5"/>
  <c r="H71" i="5" s="1"/>
  <c r="G70" i="5"/>
  <c r="H70" i="5" s="1"/>
  <c r="G69" i="5"/>
  <c r="H69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G59" i="5"/>
  <c r="H59" i="5" s="1"/>
  <c r="G58" i="5"/>
  <c r="H58" i="5" s="1"/>
  <c r="G57" i="5"/>
  <c r="H57" i="5" s="1"/>
  <c r="G56" i="5" l="1"/>
  <c r="H56" i="5" s="1"/>
  <c r="G52" i="5" l="1"/>
  <c r="H52" i="5" s="1"/>
  <c r="G25" i="5"/>
  <c r="H25" i="5" s="1"/>
  <c r="G20" i="5"/>
  <c r="H20" i="5" s="1"/>
  <c r="G55" i="5"/>
  <c r="H55" i="5" s="1"/>
  <c r="G54" i="5"/>
  <c r="H54" i="5" s="1"/>
  <c r="G53" i="5"/>
  <c r="H53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 l="1"/>
  <c r="H31" i="5" s="1"/>
  <c r="G30" i="5"/>
  <c r="H30" i="5" s="1"/>
  <c r="G29" i="5"/>
  <c r="H29" i="5" s="1"/>
  <c r="G28" i="5"/>
  <c r="G27" i="5"/>
  <c r="H27" i="5" s="1"/>
  <c r="O27" i="5" s="1"/>
  <c r="G26" i="5"/>
  <c r="H26" i="5" s="1"/>
  <c r="O26" i="5" s="1"/>
  <c r="G24" i="5"/>
  <c r="H24" i="5" s="1"/>
  <c r="G23" i="5"/>
  <c r="G22" i="5"/>
  <c r="H22" i="5" s="1"/>
  <c r="G21" i="5"/>
  <c r="G19" i="5"/>
  <c r="G18" i="5"/>
  <c r="G17" i="5"/>
  <c r="G16" i="5"/>
  <c r="G15" i="5"/>
  <c r="G14" i="5"/>
  <c r="G13" i="5"/>
  <c r="G12" i="5"/>
  <c r="G11" i="5"/>
  <c r="H11" i="5" s="1"/>
  <c r="G10" i="5"/>
  <c r="G9" i="5"/>
  <c r="G8" i="5"/>
  <c r="G7" i="5"/>
  <c r="G6" i="5"/>
  <c r="G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5" i="5"/>
  <c r="H14" i="5" l="1"/>
  <c r="O14" i="5" s="1"/>
  <c r="H18" i="5"/>
  <c r="O18" i="5" s="1"/>
  <c r="H7" i="5"/>
  <c r="O7" i="5" s="1"/>
  <c r="H15" i="5"/>
  <c r="O15" i="5" s="1"/>
  <c r="H19" i="5"/>
  <c r="O19" i="5" s="1"/>
  <c r="H6" i="5"/>
  <c r="O6" i="5" s="1"/>
  <c r="O24" i="5"/>
  <c r="H23" i="5"/>
  <c r="O23" i="5" s="1"/>
  <c r="H8" i="5"/>
  <c r="O8" i="5" s="1"/>
  <c r="H12" i="5"/>
  <c r="O12" i="5" s="1"/>
  <c r="H16" i="5"/>
  <c r="O16" i="5" s="1"/>
  <c r="O22" i="5"/>
  <c r="H21" i="5"/>
  <c r="O21" i="5" s="1"/>
  <c r="H10" i="5"/>
  <c r="O10" i="5" s="1"/>
  <c r="H28" i="5"/>
  <c r="O28" i="5" s="1"/>
  <c r="H5" i="5"/>
  <c r="O5" i="5" s="1"/>
  <c r="O105" i="5" s="1"/>
  <c r="H9" i="5"/>
  <c r="O9" i="5" s="1"/>
  <c r="H13" i="5"/>
  <c r="O13" i="5" s="1"/>
  <c r="H17" i="5"/>
  <c r="O17" i="5" s="1"/>
  <c r="O76" i="5"/>
  <c r="O20" i="5"/>
  <c r="O11" i="5"/>
</calcChain>
</file>

<file path=xl/comments1.xml><?xml version="1.0" encoding="utf-8"?>
<comments xmlns="http://schemas.openxmlformats.org/spreadsheetml/2006/main">
  <authors>
    <author>laura.uribe</author>
  </authors>
  <commentList>
    <comment ref="A1" authorId="0" shapeId="0">
      <text>
        <r>
          <rPr>
            <sz val="11"/>
            <color indexed="81"/>
            <rFont val="Tahoma"/>
            <family val="2"/>
          </rPr>
          <t xml:space="preserve">Art. 61 Fracc. II "Presupuestos de Egresos, inciso a) " Las prioridades de gasto, los programas y proyectos, así como la distribución del presupuesto, </t>
        </r>
        <r>
          <rPr>
            <b/>
            <u/>
            <sz val="11"/>
            <color indexed="81"/>
            <rFont val="Tahoma"/>
            <family val="2"/>
          </rPr>
          <t xml:space="preserve">detallando el gasto en servicios personales, incluyendo el analítico de plazas y desgosando cada una de las remuneraciones; </t>
        </r>
        <r>
          <rPr>
            <sz val="11"/>
            <color indexed="81"/>
            <rFont val="Tahoma"/>
            <family val="2"/>
          </rPr>
          <t>.....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2" authorId="0" shapeId="0">
      <text>
        <r>
          <rPr>
            <sz val="11"/>
            <color indexed="81"/>
            <rFont val="Tahoma"/>
            <family val="2"/>
          </rPr>
          <t xml:space="preserve">Art. 61 Fracc. II "Presupuestos de Egresos, inciso a) " Las prioridades de gasto, los programas y proyectos, así como la distribución del presupuesto, </t>
        </r>
        <r>
          <rPr>
            <b/>
            <u/>
            <sz val="11"/>
            <color indexed="81"/>
            <rFont val="Tahoma"/>
            <family val="2"/>
          </rPr>
          <t xml:space="preserve">detallando el gasto en servicios personales, incluyendo el analítico de plazas y desgosando cada una de las remuneraciones; </t>
        </r>
        <r>
          <rPr>
            <sz val="11"/>
            <color indexed="81"/>
            <rFont val="Tahoma"/>
            <family val="2"/>
          </rPr>
          <t>.....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<sst xmlns="http://schemas.openxmlformats.org/spreadsheetml/2006/main" count="219" uniqueCount="113">
  <si>
    <t>Secretaria</t>
  </si>
  <si>
    <t>Auxiliar de la unidad deportiva</t>
  </si>
  <si>
    <t>Chofer municipal</t>
  </si>
  <si>
    <t>Operador de la planta de aguas residuales</t>
  </si>
  <si>
    <t>Inspector ganadero</t>
  </si>
  <si>
    <t>Auxiliar</t>
  </si>
  <si>
    <t>Electricista</t>
  </si>
  <si>
    <t>Director</t>
  </si>
  <si>
    <t>Comandante</t>
  </si>
  <si>
    <t>Casa de la Cultura</t>
  </si>
  <si>
    <t>Comisarias</t>
  </si>
  <si>
    <t>Comisario</t>
  </si>
  <si>
    <t>Agencia</t>
  </si>
  <si>
    <t>Delegaciones</t>
  </si>
  <si>
    <t>Intendente</t>
  </si>
  <si>
    <t>Fontanero en Santa Rosalia de la Cueva</t>
  </si>
  <si>
    <t>Albañil</t>
  </si>
  <si>
    <t>Operador de retroexcavadora</t>
  </si>
  <si>
    <t>Proyectista</t>
  </si>
  <si>
    <t>Presidencia</t>
  </si>
  <si>
    <t>Secretario general</t>
  </si>
  <si>
    <t>Oficial Mayor</t>
  </si>
  <si>
    <t>Sindicatura</t>
  </si>
  <si>
    <t>Presidente</t>
  </si>
  <si>
    <t>Regidores</t>
  </si>
  <si>
    <t>NOMBRE DE LA PLAZA</t>
  </si>
  <si>
    <t>ADSCRIPCIÓN DE LA PLAZA</t>
  </si>
  <si>
    <t>PARTIDA GENERICA</t>
  </si>
  <si>
    <t xml:space="preserve">FF </t>
  </si>
  <si>
    <t>No. PLAZAS</t>
  </si>
  <si>
    <t>111-113
DIETAS Y SUELDO BASE</t>
  </si>
  <si>
    <t>SUMA TOTAL DE REMUNERACIONES</t>
  </si>
  <si>
    <t>MENSUAL</t>
  </si>
  <si>
    <t>ANUAL</t>
  </si>
  <si>
    <t>PRIMAS POR AÑOS DE SERVICIOS EFECTIVOS PRESTADOS</t>
  </si>
  <si>
    <t>PRIMA VACACIONAL Y DOMINICAL</t>
  </si>
  <si>
    <t>GRATIFICACIÓN DE FIN DE AÑO (AGUINALDO)</t>
  </si>
  <si>
    <t>HORAS EXTRAORDINARIAS</t>
  </si>
  <si>
    <t>COMPENSACIONES</t>
  </si>
  <si>
    <t>OTRAS PRESTACIONES</t>
  </si>
  <si>
    <t>Sala de regidores</t>
  </si>
  <si>
    <t>Sindíco</t>
  </si>
  <si>
    <t>Secretaría general</t>
  </si>
  <si>
    <t>Secretario Particular</t>
  </si>
  <si>
    <t>Director de Desarrollo social</t>
  </si>
  <si>
    <t>Contralor</t>
  </si>
  <si>
    <t>Contraloria municipal</t>
  </si>
  <si>
    <t>Encargado de la Hacienda</t>
  </si>
  <si>
    <t>Hacenda municipal</t>
  </si>
  <si>
    <t>Obras publicas</t>
  </si>
  <si>
    <t>Operador</t>
  </si>
  <si>
    <t>Director de obras publicas</t>
  </si>
  <si>
    <t>Auxiliar de Albañil</t>
  </si>
  <si>
    <t>Fontanero Temacapulin</t>
  </si>
  <si>
    <t>Agua potable y alcantarillado</t>
  </si>
  <si>
    <t>Encargado del agua potable</t>
  </si>
  <si>
    <t>Operador de Pipa</t>
  </si>
  <si>
    <t>Encargado de agua potable en oficinas</t>
  </si>
  <si>
    <t>Encargado de bombas en el Zapotillo</t>
  </si>
  <si>
    <t>Encargado de bombas en los Tepozanes</t>
  </si>
  <si>
    <t>Encargado de bombas en Temacapulin</t>
  </si>
  <si>
    <t>Auxiliar de agua potable</t>
  </si>
  <si>
    <t>Fontanero Cofradia</t>
  </si>
  <si>
    <t>Responsable de cementerio</t>
  </si>
  <si>
    <t xml:space="preserve">Delegado </t>
  </si>
  <si>
    <t>Policia de linea</t>
  </si>
  <si>
    <t>Seguridad publica</t>
  </si>
  <si>
    <t>Proteccion civil</t>
  </si>
  <si>
    <t>Oficial operativo</t>
  </si>
  <si>
    <t>Auxiliar de Electricista</t>
  </si>
  <si>
    <t>Servicios Publicos</t>
  </si>
  <si>
    <t>Auxiliar de Intendencia</t>
  </si>
  <si>
    <t>Chofer de estudiantes</t>
  </si>
  <si>
    <t>Operador de planta de aguas residuales de la Santa Rosalia de la Cueva</t>
  </si>
  <si>
    <t>Director de educacion</t>
  </si>
  <si>
    <t>Mecanico</t>
  </si>
  <si>
    <t>Director de desarrollo rural y promocipn economica</t>
  </si>
  <si>
    <t>Encargado de Cementerio</t>
  </si>
  <si>
    <t>MUNICIPIO:</t>
  </si>
  <si>
    <t>CAÑADAS DE OBREGON, JALISCO.</t>
  </si>
  <si>
    <t>Plantilla de Personal de Carácter Permanente 2021</t>
  </si>
  <si>
    <t>Auxiliar DE HACIENDA</t>
  </si>
  <si>
    <t>Encargado de bombas en los Yugos</t>
  </si>
  <si>
    <t xml:space="preserve">Auxiliar </t>
  </si>
  <si>
    <t>auxiliar de ingresos</t>
  </si>
  <si>
    <t>operador de motoconformadora</t>
  </si>
  <si>
    <t>fontanero los colomos</t>
  </si>
  <si>
    <t>secretaria</t>
  </si>
  <si>
    <t>Médico</t>
  </si>
  <si>
    <t>velador de la planta de aguas residuales</t>
  </si>
  <si>
    <t>Intendente de aseo publico</t>
  </si>
  <si>
    <t>EVENTUALES</t>
  </si>
  <si>
    <t>Auxiliar intendente de la unidad deportiva</t>
  </si>
  <si>
    <t>Encargado del rastro municipal</t>
  </si>
  <si>
    <t>encargado de parques y jardines zapotillo</t>
  </si>
  <si>
    <t xml:space="preserve">encargado de parques y jardines </t>
  </si>
  <si>
    <t>encargado de bodega</t>
  </si>
  <si>
    <t>auxiliar</t>
  </si>
  <si>
    <t>maestra</t>
  </si>
  <si>
    <t>director de deporte</t>
  </si>
  <si>
    <t>entrenador infantil</t>
  </si>
  <si>
    <t>fontanero zapotillo</t>
  </si>
  <si>
    <t>fontanero el zapote</t>
  </si>
  <si>
    <t>intendente de parques y jardines</t>
  </si>
  <si>
    <t>encargado de bombas zapotillo</t>
  </si>
  <si>
    <t>Agente</t>
  </si>
  <si>
    <t>Tecnico en  computacion</t>
  </si>
  <si>
    <t>auxiliar de parques y jardines</t>
  </si>
  <si>
    <t>Encargado de registro civil</t>
  </si>
  <si>
    <t>registro civil</t>
  </si>
  <si>
    <t xml:space="preserve">encargada de catastro </t>
  </si>
  <si>
    <t>catastro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</si>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</sst>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;\-&quot;$&quot;#,##0.00"/>
    <numFmt numFmtId="41" formatCode="_-* #,##0_-;\-* #,##0_-;_-* &quot;-&quot;_-;_-@_-"/>
    <numFmt numFmtId="43" formatCode="_-* #,##0.00_-;\-* #,##0.00_-;_-* &quot;-&quot;??_-;_-@_-"/>
    <numFmt numFmtId="165" formatCode="00\-00"/>
    <numFmt numFmtId="166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0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66" fontId="0" fillId="0" borderId="4" xfId="0" applyNumberFormat="1" applyFont="1" applyFill="1" applyBorder="1" applyAlignment="1" applyProtection="1">
      <alignment horizontal="center" vertical="center"/>
    </xf>
    <xf numFmtId="166" fontId="0" fillId="0" borderId="4" xfId="0" applyNumberFormat="1" applyFont="1" applyFill="1" applyBorder="1" applyAlignment="1" applyProtection="1">
      <alignment horizontal="center" vertical="center"/>
      <protection locked="0"/>
    </xf>
    <xf numFmtId="166" fontId="0" fillId="0" borderId="1" xfId="0" applyNumberFormat="1" applyFont="1" applyFill="1" applyBorder="1" applyAlignment="1" applyProtection="1">
      <alignment horizontal="center" vertical="center"/>
    </xf>
    <xf numFmtId="166" fontId="0" fillId="0" borderId="1" xfId="0" applyNumberFormat="1" applyFont="1" applyFill="1" applyBorder="1" applyAlignment="1" applyProtection="1">
      <alignment horizontal="center" vertical="center"/>
      <protection locked="0"/>
    </xf>
    <xf numFmtId="166" fontId="1" fillId="0" borderId="1" xfId="1" applyNumberFormat="1" applyFont="1" applyFill="1" applyBorder="1" applyAlignment="1" applyProtection="1">
      <alignment horizontal="center" vertical="center"/>
      <protection locked="0"/>
    </xf>
    <xf numFmtId="41" fontId="0" fillId="0" borderId="1" xfId="0" applyNumberFormat="1" applyFont="1" applyFill="1" applyBorder="1" applyAlignment="1" applyProtection="1">
      <alignment vertical="center" wrapText="1"/>
      <protection locked="0"/>
    </xf>
    <xf numFmtId="41" fontId="0" fillId="0" borderId="1" xfId="0" applyNumberFormat="1" applyFont="1" applyFill="1" applyBorder="1" applyAlignment="1" applyProtection="1">
      <alignment vertical="center" wrapText="1"/>
    </xf>
    <xf numFmtId="7" fontId="0" fillId="0" borderId="4" xfId="0" applyNumberFormat="1" applyFont="1" applyFill="1" applyBorder="1" applyAlignment="1" applyProtection="1">
      <alignment vertical="center"/>
      <protection locked="0"/>
    </xf>
    <xf numFmtId="7" fontId="0" fillId="0" borderId="4" xfId="0" applyNumberFormat="1" applyFont="1" applyFill="1" applyBorder="1" applyAlignment="1">
      <alignment vertical="center"/>
    </xf>
    <xf numFmtId="7" fontId="7" fillId="0" borderId="1" xfId="0" applyNumberFormat="1" applyFont="1" applyFill="1" applyBorder="1" applyAlignment="1">
      <alignment vertical="center"/>
    </xf>
    <xf numFmtId="7" fontId="0" fillId="0" borderId="1" xfId="0" applyNumberFormat="1" applyFont="1" applyFill="1" applyBorder="1" applyAlignment="1" applyProtection="1">
      <alignment vertical="center"/>
      <protection locked="0"/>
    </xf>
    <xf numFmtId="7" fontId="0" fillId="0" borderId="1" xfId="0" applyNumberFormat="1" applyFont="1" applyFill="1" applyBorder="1" applyAlignment="1" applyProtection="1">
      <alignment horizontal="right" vertical="center"/>
      <protection locked="0"/>
    </xf>
    <xf numFmtId="7" fontId="1" fillId="0" borderId="1" xfId="1" applyNumberFormat="1" applyFont="1" applyFill="1" applyBorder="1" applyAlignment="1" applyProtection="1">
      <alignment vertical="center"/>
      <protection locked="0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7" fontId="10" fillId="0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1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right" vertical="center"/>
    </xf>
    <xf numFmtId="0" fontId="2" fillId="0" borderId="7" xfId="0" applyFont="1" applyFill="1" applyBorder="1" applyAlignment="1" applyProtection="1">
      <alignment horizontal="right" vertical="center"/>
    </xf>
    <xf numFmtId="0" fontId="2" fillId="0" borderId="7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vertical="center" wrapText="1"/>
      <protection locked="0"/>
    </xf>
    <xf numFmtId="165" fontId="6" fillId="2" borderId="0" xfId="0" applyNumberFormat="1" applyFont="1" applyFill="1" applyBorder="1" applyAlignment="1">
      <alignment horizontal="center" vertical="center"/>
    </xf>
    <xf numFmtId="165" fontId="6" fillId="2" borderId="5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vertical="center" wrapText="1"/>
      <protection locked="0"/>
    </xf>
    <xf numFmtId="0" fontId="0" fillId="0" borderId="2" xfId="0" applyFont="1" applyFill="1" applyBorder="1" applyAlignment="1" applyProtection="1">
      <alignment vertical="center" wrapText="1"/>
      <protection locked="0"/>
    </xf>
    <xf numFmtId="0" fontId="0" fillId="3" borderId="3" xfId="0" applyFont="1" applyFill="1" applyBorder="1" applyAlignment="1" applyProtection="1">
      <alignment horizontal="right" vertical="center" wrapText="1"/>
      <protection locked="0"/>
    </xf>
    <xf numFmtId="0" fontId="0" fillId="3" borderId="18" xfId="0" applyFont="1" applyFill="1" applyBorder="1" applyAlignment="1" applyProtection="1">
      <alignment horizontal="right" vertical="center" wrapText="1"/>
      <protection locked="0"/>
    </xf>
    <xf numFmtId="0" fontId="0" fillId="3" borderId="2" xfId="0" applyFont="1" applyFill="1" applyBorder="1" applyAlignment="1" applyProtection="1">
      <alignment horizontal="right" vertical="center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4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5"/>
  <sheetViews>
    <sheetView tabSelected="1" topLeftCell="A25" workbookViewId="0">
      <selection activeCell="K108" sqref="K108"/>
    </sheetView>
  </sheetViews>
  <sheetFormatPr baseColWidth="10" defaultRowHeight="15" x14ac:dyDescent="0.25"/>
  <cols>
    <col min="1" max="2" width="14.7109375" customWidth="1"/>
    <col min="3" max="3" width="18.28515625" customWidth="1"/>
    <col min="4" max="6" width="10.28515625" customWidth="1"/>
    <col min="7" max="7" width="14.7109375" bestFit="1" customWidth="1"/>
    <col min="8" max="8" width="13.28515625" bestFit="1" customWidth="1"/>
    <col min="9" max="10" width="11.5703125" bestFit="1" customWidth="1"/>
    <col min="11" max="11" width="13.7109375" bestFit="1" customWidth="1"/>
    <col min="12" max="14" width="11.5703125" bestFit="1" customWidth="1"/>
    <col min="15" max="15" width="13.7109375" bestFit="1" customWidth="1"/>
  </cols>
  <sheetData>
    <row r="1" spans="1:16" ht="28.5" customHeight="1" thickTop="1" thickBot="1" x14ac:dyDescent="0.3">
      <c r="A1" s="17" t="s">
        <v>80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9"/>
    </row>
    <row r="2" spans="1:16" ht="24" customHeight="1" thickTop="1" x14ac:dyDescent="0.25">
      <c r="A2" s="20" t="s">
        <v>78</v>
      </c>
      <c r="B2" s="21"/>
      <c r="C2" s="22" t="s">
        <v>79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</row>
    <row r="3" spans="1:16" ht="28.5" customHeight="1" x14ac:dyDescent="0.25">
      <c r="A3" s="25" t="s">
        <v>25</v>
      </c>
      <c r="B3" s="25"/>
      <c r="C3" s="27" t="s">
        <v>26</v>
      </c>
      <c r="D3" s="29" t="s">
        <v>27</v>
      </c>
      <c r="E3" s="29" t="s">
        <v>28</v>
      </c>
      <c r="F3" s="29" t="s">
        <v>29</v>
      </c>
      <c r="G3" s="35" t="s">
        <v>30</v>
      </c>
      <c r="H3" s="27"/>
      <c r="I3" s="14">
        <v>131</v>
      </c>
      <c r="J3" s="14">
        <v>132</v>
      </c>
      <c r="K3" s="14">
        <v>132</v>
      </c>
      <c r="L3" s="14">
        <v>133</v>
      </c>
      <c r="M3" s="14">
        <v>134</v>
      </c>
      <c r="N3" s="14">
        <v>1500</v>
      </c>
      <c r="O3" s="32" t="s">
        <v>31</v>
      </c>
    </row>
    <row r="4" spans="1:16" ht="63.75" x14ac:dyDescent="0.25">
      <c r="A4" s="26"/>
      <c r="B4" s="26"/>
      <c r="C4" s="28"/>
      <c r="D4" s="30"/>
      <c r="E4" s="31"/>
      <c r="F4" s="31"/>
      <c r="G4" s="15" t="s">
        <v>32</v>
      </c>
      <c r="H4" s="15" t="s">
        <v>33</v>
      </c>
      <c r="I4" s="15" t="s">
        <v>34</v>
      </c>
      <c r="J4" s="15" t="s">
        <v>35</v>
      </c>
      <c r="K4" s="15" t="s">
        <v>36</v>
      </c>
      <c r="L4" s="15" t="s">
        <v>37</v>
      </c>
      <c r="M4" s="15" t="s">
        <v>38</v>
      </c>
      <c r="N4" s="15" t="s">
        <v>39</v>
      </c>
      <c r="O4" s="33"/>
    </row>
    <row r="5" spans="1:16" ht="30" customHeight="1" x14ac:dyDescent="0.25">
      <c r="A5" s="34" t="s">
        <v>24</v>
      </c>
      <c r="B5" s="34"/>
      <c r="C5" s="7" t="s">
        <v>40</v>
      </c>
      <c r="D5" s="1">
        <v>111</v>
      </c>
      <c r="E5" s="2">
        <v>15</v>
      </c>
      <c r="F5" s="2">
        <v>9</v>
      </c>
      <c r="G5" s="8">
        <f>6002*2</f>
        <v>12004</v>
      </c>
      <c r="H5" s="9">
        <f>IF(E5="","SE REQUIERE ASIGNAR LA FUENTE DE FINANCIAMIENTO",IF(F5="","ES NECESARIO ESTABLECER EL NÚMERO DE PLAZAS",IF(G5="","SE NECESITA ESTABLECER UN MONTO MENSUAL",F5*G5*12)))</f>
        <v>1296432</v>
      </c>
      <c r="I5" s="8"/>
      <c r="J5" s="8"/>
      <c r="K5" s="8">
        <v>19743.42105263158</v>
      </c>
      <c r="L5" s="8"/>
      <c r="M5" s="8"/>
      <c r="N5" s="8"/>
      <c r="O5" s="10">
        <f>SUM(H5:N5)</f>
        <v>1316175.4210526317</v>
      </c>
      <c r="P5">
        <f>(G5/30.4)*50</f>
        <v>19743.42105263158</v>
      </c>
    </row>
    <row r="6" spans="1:16" ht="30" customHeight="1" x14ac:dyDescent="0.25">
      <c r="A6" s="34" t="s">
        <v>41</v>
      </c>
      <c r="B6" s="34"/>
      <c r="C6" s="7" t="s">
        <v>22</v>
      </c>
      <c r="D6" s="3">
        <v>111</v>
      </c>
      <c r="E6" s="2">
        <v>15</v>
      </c>
      <c r="F6" s="4">
        <v>1</v>
      </c>
      <c r="G6" s="11">
        <f>9029*2</f>
        <v>18058</v>
      </c>
      <c r="H6" s="9">
        <f t="shared" ref="H6:H69" si="0">IF(E6="","SE REQUIERE ASIGNAR LA FUENTE DE FINANCIAMIENTO",IF(F6="","ES NECESARIO ESTABLECER EL NÚMERO DE PLAZAS",IF(G6="","SE NECESITA ESTABLECER UN MONTO MENSUAL",F6*G6*12)))</f>
        <v>216696</v>
      </c>
      <c r="I6" s="11"/>
      <c r="J6" s="11"/>
      <c r="K6" s="11">
        <v>29700.657894736843</v>
      </c>
      <c r="L6" s="11"/>
      <c r="M6" s="11"/>
      <c r="N6" s="11"/>
      <c r="O6" s="10">
        <f t="shared" ref="O6:O68" si="1">SUM(H6:N6)</f>
        <v>246396.65789473685</v>
      </c>
      <c r="P6">
        <f t="shared" ref="P6:P69" si="2">(G6/30.4)*50</f>
        <v>29700.657894736843</v>
      </c>
    </row>
    <row r="7" spans="1:16" ht="30" customHeight="1" x14ac:dyDescent="0.25">
      <c r="A7" s="24" t="s">
        <v>43</v>
      </c>
      <c r="B7" s="24"/>
      <c r="C7" s="6" t="s">
        <v>22</v>
      </c>
      <c r="D7" s="3">
        <v>113</v>
      </c>
      <c r="E7" s="2">
        <v>15</v>
      </c>
      <c r="F7" s="4">
        <v>1</v>
      </c>
      <c r="G7" s="12">
        <f>3295*2</f>
        <v>6590</v>
      </c>
      <c r="H7" s="9">
        <f t="shared" si="0"/>
        <v>79080</v>
      </c>
      <c r="I7" s="12"/>
      <c r="J7" s="12"/>
      <c r="K7" s="12">
        <v>10838.815789473685</v>
      </c>
      <c r="L7" s="12"/>
      <c r="M7" s="12"/>
      <c r="N7" s="12"/>
      <c r="O7" s="10">
        <f t="shared" si="1"/>
        <v>89918.81578947368</v>
      </c>
      <c r="P7">
        <f t="shared" si="2"/>
        <v>10838.815789473685</v>
      </c>
    </row>
    <row r="8" spans="1:16" ht="30" customHeight="1" x14ac:dyDescent="0.25">
      <c r="A8" s="36" t="s">
        <v>5</v>
      </c>
      <c r="B8" s="37"/>
      <c r="C8" s="6" t="s">
        <v>22</v>
      </c>
      <c r="D8" s="3">
        <v>113</v>
      </c>
      <c r="E8" s="2">
        <v>15</v>
      </c>
      <c r="F8" s="4">
        <v>1</v>
      </c>
      <c r="G8" s="12">
        <f>5725*2</f>
        <v>11450</v>
      </c>
      <c r="H8" s="9">
        <f t="shared" si="0"/>
        <v>137400</v>
      </c>
      <c r="I8" s="12"/>
      <c r="J8" s="12"/>
      <c r="K8" s="12">
        <v>18832.236842105263</v>
      </c>
      <c r="L8" s="12"/>
      <c r="M8" s="12"/>
      <c r="N8" s="12"/>
      <c r="O8" s="10">
        <f t="shared" si="1"/>
        <v>156232.23684210525</v>
      </c>
      <c r="P8">
        <f t="shared" si="2"/>
        <v>18832.236842105263</v>
      </c>
    </row>
    <row r="9" spans="1:16" ht="30" customHeight="1" x14ac:dyDescent="0.25">
      <c r="A9" s="34" t="s">
        <v>20</v>
      </c>
      <c r="B9" s="34"/>
      <c r="C9" s="7" t="s">
        <v>42</v>
      </c>
      <c r="D9" s="3">
        <v>113</v>
      </c>
      <c r="E9" s="2">
        <v>15</v>
      </c>
      <c r="F9" s="4">
        <v>1</v>
      </c>
      <c r="G9" s="12">
        <f>5848*2</f>
        <v>11696</v>
      </c>
      <c r="H9" s="9">
        <f t="shared" si="0"/>
        <v>140352</v>
      </c>
      <c r="I9" s="12"/>
      <c r="J9" s="12"/>
      <c r="K9" s="12">
        <v>19236.84210526316</v>
      </c>
      <c r="L9" s="12"/>
      <c r="M9" s="12"/>
      <c r="N9" s="12"/>
      <c r="O9" s="10">
        <f t="shared" si="1"/>
        <v>159588.84210526315</v>
      </c>
      <c r="P9">
        <f t="shared" si="2"/>
        <v>19236.84210526316</v>
      </c>
    </row>
    <row r="10" spans="1:16" ht="30" customHeight="1" x14ac:dyDescent="0.25">
      <c r="A10" s="34" t="s">
        <v>23</v>
      </c>
      <c r="B10" s="34"/>
      <c r="C10" s="7" t="s">
        <v>19</v>
      </c>
      <c r="D10" s="3">
        <v>113</v>
      </c>
      <c r="E10" s="2">
        <v>15</v>
      </c>
      <c r="F10" s="4">
        <v>1</v>
      </c>
      <c r="G10" s="12">
        <f>15904*2</f>
        <v>31808</v>
      </c>
      <c r="H10" s="9">
        <f t="shared" si="0"/>
        <v>381696</v>
      </c>
      <c r="I10" s="12"/>
      <c r="J10" s="12"/>
      <c r="K10" s="12">
        <v>52315.789473684206</v>
      </c>
      <c r="L10" s="12"/>
      <c r="M10" s="12"/>
      <c r="N10" s="12"/>
      <c r="O10" s="10">
        <f t="shared" si="1"/>
        <v>434011.78947368421</v>
      </c>
      <c r="P10">
        <f t="shared" si="2"/>
        <v>52315.789473684206</v>
      </c>
    </row>
    <row r="11" spans="1:16" ht="30" customHeight="1" x14ac:dyDescent="0.25">
      <c r="A11" s="24" t="s">
        <v>43</v>
      </c>
      <c r="B11" s="24"/>
      <c r="C11" s="6" t="s">
        <v>19</v>
      </c>
      <c r="D11" s="3">
        <v>113</v>
      </c>
      <c r="E11" s="2">
        <v>15</v>
      </c>
      <c r="F11" s="4">
        <v>1</v>
      </c>
      <c r="G11" s="11">
        <f>2496*2</f>
        <v>4992</v>
      </c>
      <c r="H11" s="9">
        <f t="shared" si="0"/>
        <v>59904</v>
      </c>
      <c r="I11" s="11"/>
      <c r="J11" s="11"/>
      <c r="K11" s="11">
        <v>8210.5263157894733</v>
      </c>
      <c r="L11" s="11"/>
      <c r="M11" s="11"/>
      <c r="N11" s="11"/>
      <c r="O11" s="10">
        <f t="shared" si="1"/>
        <v>68114.526315789466</v>
      </c>
      <c r="P11">
        <f t="shared" si="2"/>
        <v>8210.5263157894733</v>
      </c>
    </row>
    <row r="12" spans="1:16" ht="30" customHeight="1" x14ac:dyDescent="0.25">
      <c r="A12" s="24" t="s">
        <v>44</v>
      </c>
      <c r="B12" s="24"/>
      <c r="C12" s="6" t="s">
        <v>19</v>
      </c>
      <c r="D12" s="3">
        <v>113</v>
      </c>
      <c r="E12" s="2">
        <v>15</v>
      </c>
      <c r="F12" s="4">
        <v>1</v>
      </c>
      <c r="G12" s="12">
        <f>4183*2</f>
        <v>8366</v>
      </c>
      <c r="H12" s="9">
        <f t="shared" si="0"/>
        <v>100392</v>
      </c>
      <c r="I12" s="12"/>
      <c r="J12" s="12"/>
      <c r="K12" s="12">
        <v>13759.868421052633</v>
      </c>
      <c r="L12" s="12"/>
      <c r="M12" s="12"/>
      <c r="N12" s="12"/>
      <c r="O12" s="10">
        <f t="shared" si="1"/>
        <v>114151.86842105264</v>
      </c>
      <c r="P12">
        <f t="shared" si="2"/>
        <v>13759.868421052633</v>
      </c>
    </row>
    <row r="13" spans="1:16" ht="30" customHeight="1" x14ac:dyDescent="0.25">
      <c r="A13" s="24" t="s">
        <v>45</v>
      </c>
      <c r="B13" s="24"/>
      <c r="C13" s="6" t="s">
        <v>46</v>
      </c>
      <c r="D13" s="3">
        <v>113</v>
      </c>
      <c r="E13" s="2">
        <v>15</v>
      </c>
      <c r="F13" s="4">
        <v>1</v>
      </c>
      <c r="G13" s="12">
        <f>4110*2</f>
        <v>8220</v>
      </c>
      <c r="H13" s="9">
        <f t="shared" si="0"/>
        <v>98640</v>
      </c>
      <c r="I13" s="12"/>
      <c r="J13" s="12"/>
      <c r="K13" s="12">
        <v>13519.736842105263</v>
      </c>
      <c r="L13" s="12"/>
      <c r="M13" s="12"/>
      <c r="N13" s="12"/>
      <c r="O13" s="10">
        <f t="shared" si="1"/>
        <v>112159.73684210527</v>
      </c>
      <c r="P13">
        <f t="shared" si="2"/>
        <v>13519.736842105263</v>
      </c>
    </row>
    <row r="14" spans="1:16" ht="30" customHeight="1" x14ac:dyDescent="0.25">
      <c r="A14" s="36" t="s">
        <v>5</v>
      </c>
      <c r="B14" s="37"/>
      <c r="C14" s="6" t="s">
        <v>46</v>
      </c>
      <c r="D14" s="3">
        <v>113</v>
      </c>
      <c r="E14" s="2">
        <v>15</v>
      </c>
      <c r="F14" s="4">
        <v>1</v>
      </c>
      <c r="G14" s="12">
        <f>3282*2</f>
        <v>6564</v>
      </c>
      <c r="H14" s="9">
        <f t="shared" si="0"/>
        <v>78768</v>
      </c>
      <c r="I14" s="12"/>
      <c r="J14" s="12"/>
      <c r="K14" s="12">
        <v>10796.052631578948</v>
      </c>
      <c r="L14" s="12"/>
      <c r="M14" s="12"/>
      <c r="N14" s="12"/>
      <c r="O14" s="10">
        <f t="shared" si="1"/>
        <v>89564.052631578947</v>
      </c>
      <c r="P14">
        <f t="shared" si="2"/>
        <v>10796.052631578948</v>
      </c>
    </row>
    <row r="15" spans="1:16" ht="30" customHeight="1" x14ac:dyDescent="0.25">
      <c r="A15" s="24" t="s">
        <v>21</v>
      </c>
      <c r="B15" s="24"/>
      <c r="C15" s="6" t="s">
        <v>19</v>
      </c>
      <c r="D15" s="3">
        <v>113</v>
      </c>
      <c r="E15" s="2">
        <v>15</v>
      </c>
      <c r="F15" s="4">
        <v>1</v>
      </c>
      <c r="G15" s="12">
        <f>5228*2</f>
        <v>10456</v>
      </c>
      <c r="H15" s="9">
        <f t="shared" si="0"/>
        <v>125472</v>
      </c>
      <c r="I15" s="12"/>
      <c r="J15" s="12"/>
      <c r="K15" s="12">
        <v>17197.368421052633</v>
      </c>
      <c r="L15" s="12"/>
      <c r="M15" s="12"/>
      <c r="N15" s="12"/>
      <c r="O15" s="10">
        <f t="shared" si="1"/>
        <v>142669.36842105264</v>
      </c>
      <c r="P15">
        <f t="shared" si="2"/>
        <v>17197.368421052633</v>
      </c>
    </row>
    <row r="16" spans="1:16" ht="30" customHeight="1" x14ac:dyDescent="0.25">
      <c r="A16" s="36" t="s">
        <v>5</v>
      </c>
      <c r="B16" s="37"/>
      <c r="C16" s="6" t="s">
        <v>19</v>
      </c>
      <c r="D16" s="3">
        <v>113</v>
      </c>
      <c r="E16" s="2">
        <v>15</v>
      </c>
      <c r="F16" s="4">
        <v>4</v>
      </c>
      <c r="G16" s="12">
        <f>2496*2</f>
        <v>4992</v>
      </c>
      <c r="H16" s="9">
        <f t="shared" si="0"/>
        <v>239616</v>
      </c>
      <c r="I16" s="11"/>
      <c r="J16" s="11"/>
      <c r="K16" s="11">
        <v>8210.5263157894733</v>
      </c>
      <c r="L16" s="11"/>
      <c r="M16" s="11"/>
      <c r="N16" s="11"/>
      <c r="O16" s="10">
        <f t="shared" si="1"/>
        <v>247826.52631578947</v>
      </c>
      <c r="P16">
        <f t="shared" si="2"/>
        <v>8210.5263157894733</v>
      </c>
    </row>
    <row r="17" spans="1:16" ht="30" customHeight="1" x14ac:dyDescent="0.25">
      <c r="A17" s="24" t="s">
        <v>76</v>
      </c>
      <c r="B17" s="24"/>
      <c r="C17" s="6" t="s">
        <v>70</v>
      </c>
      <c r="D17" s="3">
        <v>113</v>
      </c>
      <c r="E17" s="2">
        <v>15</v>
      </c>
      <c r="F17" s="4">
        <v>1</v>
      </c>
      <c r="G17" s="12">
        <f>4183*2</f>
        <v>8366</v>
      </c>
      <c r="H17" s="9">
        <f t="shared" si="0"/>
        <v>100392</v>
      </c>
      <c r="I17" s="12"/>
      <c r="J17" s="12"/>
      <c r="K17" s="12">
        <v>13759.868421052633</v>
      </c>
      <c r="L17" s="12"/>
      <c r="M17" s="12"/>
      <c r="N17" s="12"/>
      <c r="O17" s="10">
        <f t="shared" si="1"/>
        <v>114151.86842105264</v>
      </c>
      <c r="P17">
        <f t="shared" si="2"/>
        <v>13759.868421052633</v>
      </c>
    </row>
    <row r="18" spans="1:16" ht="30" customHeight="1" x14ac:dyDescent="0.25">
      <c r="A18" s="36" t="s">
        <v>47</v>
      </c>
      <c r="B18" s="37"/>
      <c r="C18" s="6" t="s">
        <v>48</v>
      </c>
      <c r="D18" s="3">
        <v>113</v>
      </c>
      <c r="E18" s="2">
        <v>15</v>
      </c>
      <c r="F18" s="4">
        <v>1</v>
      </c>
      <c r="G18" s="12">
        <f>7242*2</f>
        <v>14484</v>
      </c>
      <c r="H18" s="9">
        <f t="shared" si="0"/>
        <v>173808</v>
      </c>
      <c r="I18" s="12"/>
      <c r="J18" s="12"/>
      <c r="K18" s="12">
        <v>23822.368421052633</v>
      </c>
      <c r="L18" s="12"/>
      <c r="M18" s="12"/>
      <c r="N18" s="12"/>
      <c r="O18" s="10">
        <f t="shared" si="1"/>
        <v>197630.36842105264</v>
      </c>
      <c r="P18">
        <f t="shared" si="2"/>
        <v>23822.368421052633</v>
      </c>
    </row>
    <row r="19" spans="1:16" ht="30" customHeight="1" x14ac:dyDescent="0.25">
      <c r="A19" s="36" t="s">
        <v>81</v>
      </c>
      <c r="B19" s="37"/>
      <c r="C19" s="6" t="s">
        <v>48</v>
      </c>
      <c r="D19" s="3">
        <v>113</v>
      </c>
      <c r="E19" s="2">
        <v>15</v>
      </c>
      <c r="F19" s="4">
        <v>1</v>
      </c>
      <c r="G19" s="12">
        <f>3830*2</f>
        <v>7660</v>
      </c>
      <c r="H19" s="9">
        <f t="shared" si="0"/>
        <v>91920</v>
      </c>
      <c r="I19" s="12"/>
      <c r="J19" s="12"/>
      <c r="K19" s="12">
        <v>12598.684210526317</v>
      </c>
      <c r="L19" s="12"/>
      <c r="M19" s="12"/>
      <c r="N19" s="12"/>
      <c r="O19" s="10">
        <f t="shared" si="1"/>
        <v>104518.68421052632</v>
      </c>
      <c r="P19">
        <f t="shared" si="2"/>
        <v>12598.684210526317</v>
      </c>
    </row>
    <row r="20" spans="1:16" ht="30" customHeight="1" x14ac:dyDescent="0.25">
      <c r="A20" s="41" t="s">
        <v>84</v>
      </c>
      <c r="B20" s="42"/>
      <c r="C20" s="6" t="s">
        <v>48</v>
      </c>
      <c r="D20" s="3">
        <v>113</v>
      </c>
      <c r="E20" s="2">
        <v>15</v>
      </c>
      <c r="F20" s="4">
        <v>1</v>
      </c>
      <c r="G20" s="12">
        <f>2496*2</f>
        <v>4992</v>
      </c>
      <c r="H20" s="9">
        <f t="shared" si="0"/>
        <v>59904</v>
      </c>
      <c r="I20" s="12"/>
      <c r="J20" s="12"/>
      <c r="K20" s="12">
        <v>8210.5263157894733</v>
      </c>
      <c r="L20" s="12"/>
      <c r="M20" s="12"/>
      <c r="N20" s="12"/>
      <c r="O20" s="10">
        <f t="shared" si="1"/>
        <v>68114.526315789466</v>
      </c>
      <c r="P20">
        <f t="shared" si="2"/>
        <v>8210.5263157894733</v>
      </c>
    </row>
    <row r="21" spans="1:16" ht="30" customHeight="1" x14ac:dyDescent="0.25">
      <c r="A21" s="36" t="s">
        <v>16</v>
      </c>
      <c r="B21" s="37"/>
      <c r="C21" s="6" t="s">
        <v>49</v>
      </c>
      <c r="D21" s="3">
        <v>113</v>
      </c>
      <c r="E21" s="2">
        <v>15</v>
      </c>
      <c r="F21" s="4">
        <v>1</v>
      </c>
      <c r="G21" s="12">
        <f>3359*2</f>
        <v>6718</v>
      </c>
      <c r="H21" s="9">
        <f t="shared" si="0"/>
        <v>80616</v>
      </c>
      <c r="I21" s="12"/>
      <c r="J21" s="12"/>
      <c r="K21" s="12">
        <v>11049.342105263158</v>
      </c>
      <c r="L21" s="12"/>
      <c r="M21" s="12"/>
      <c r="N21" s="12"/>
      <c r="O21" s="10">
        <f t="shared" si="1"/>
        <v>91665.34210526316</v>
      </c>
      <c r="P21">
        <f t="shared" si="2"/>
        <v>11049.342105263158</v>
      </c>
    </row>
    <row r="22" spans="1:16" ht="30" customHeight="1" x14ac:dyDescent="0.25">
      <c r="A22" s="36" t="s">
        <v>16</v>
      </c>
      <c r="B22" s="37"/>
      <c r="C22" s="6" t="s">
        <v>49</v>
      </c>
      <c r="D22" s="3">
        <v>113</v>
      </c>
      <c r="E22" s="2">
        <v>15</v>
      </c>
      <c r="F22" s="4">
        <v>2</v>
      </c>
      <c r="G22" s="12">
        <f>3440*2</f>
        <v>6880</v>
      </c>
      <c r="H22" s="9">
        <f t="shared" si="0"/>
        <v>165120</v>
      </c>
      <c r="I22" s="12"/>
      <c r="J22" s="12"/>
      <c r="K22" s="12">
        <v>11315.789473684212</v>
      </c>
      <c r="L22" s="12"/>
      <c r="M22" s="12"/>
      <c r="N22" s="12"/>
      <c r="O22" s="10">
        <f t="shared" si="1"/>
        <v>176435.78947368421</v>
      </c>
      <c r="P22">
        <f t="shared" si="2"/>
        <v>11315.789473684212</v>
      </c>
    </row>
    <row r="23" spans="1:16" ht="30" customHeight="1" x14ac:dyDescent="0.25">
      <c r="A23" s="36" t="s">
        <v>52</v>
      </c>
      <c r="B23" s="37"/>
      <c r="C23" s="6" t="s">
        <v>49</v>
      </c>
      <c r="D23" s="3">
        <v>113</v>
      </c>
      <c r="E23" s="2">
        <v>15</v>
      </c>
      <c r="F23" s="4">
        <v>2</v>
      </c>
      <c r="G23" s="12">
        <f>3137*2</f>
        <v>6274</v>
      </c>
      <c r="H23" s="9">
        <f t="shared" si="0"/>
        <v>150576</v>
      </c>
      <c r="I23" s="12"/>
      <c r="J23" s="12"/>
      <c r="K23" s="12">
        <v>10319.078947368422</v>
      </c>
      <c r="L23" s="12"/>
      <c r="M23" s="12"/>
      <c r="N23" s="12"/>
      <c r="O23" s="10">
        <f t="shared" si="1"/>
        <v>160895.07894736843</v>
      </c>
      <c r="P23">
        <f t="shared" si="2"/>
        <v>10319.078947368422</v>
      </c>
    </row>
    <row r="24" spans="1:16" ht="30" customHeight="1" x14ac:dyDescent="0.25">
      <c r="A24" s="36" t="s">
        <v>50</v>
      </c>
      <c r="B24" s="37"/>
      <c r="C24" s="6" t="s">
        <v>49</v>
      </c>
      <c r="D24" s="3">
        <v>113</v>
      </c>
      <c r="E24" s="2">
        <v>15</v>
      </c>
      <c r="F24" s="4">
        <v>1</v>
      </c>
      <c r="G24" s="12">
        <f>3137*2</f>
        <v>6274</v>
      </c>
      <c r="H24" s="9">
        <f t="shared" si="0"/>
        <v>75288</v>
      </c>
      <c r="I24" s="12"/>
      <c r="J24" s="12"/>
      <c r="K24" s="12">
        <v>10319.078947368422</v>
      </c>
      <c r="L24" s="12"/>
      <c r="M24" s="12"/>
      <c r="N24" s="12"/>
      <c r="O24" s="10">
        <f t="shared" si="1"/>
        <v>85607.078947368427</v>
      </c>
      <c r="P24">
        <f t="shared" si="2"/>
        <v>10319.078947368422</v>
      </c>
    </row>
    <row r="25" spans="1:16" ht="30" customHeight="1" x14ac:dyDescent="0.25">
      <c r="A25" s="43" t="s">
        <v>85</v>
      </c>
      <c r="B25" s="44"/>
      <c r="C25" s="6" t="s">
        <v>49</v>
      </c>
      <c r="D25" s="3">
        <v>113</v>
      </c>
      <c r="E25" s="2">
        <v>15</v>
      </c>
      <c r="F25" s="4">
        <v>1</v>
      </c>
      <c r="G25" s="12">
        <f>7600*2</f>
        <v>15200</v>
      </c>
      <c r="H25" s="9">
        <f t="shared" si="0"/>
        <v>182400</v>
      </c>
      <c r="I25" s="11"/>
      <c r="J25" s="11"/>
      <c r="K25" s="11">
        <v>25000</v>
      </c>
      <c r="L25" s="11"/>
      <c r="M25" s="11"/>
      <c r="N25" s="11"/>
      <c r="O25" s="10">
        <f t="shared" si="1"/>
        <v>207400</v>
      </c>
      <c r="P25">
        <f t="shared" si="2"/>
        <v>25000</v>
      </c>
    </row>
    <row r="26" spans="1:16" ht="30" customHeight="1" x14ac:dyDescent="0.25">
      <c r="A26" s="36" t="s">
        <v>17</v>
      </c>
      <c r="B26" s="37"/>
      <c r="C26" s="6" t="s">
        <v>49</v>
      </c>
      <c r="D26" s="3">
        <v>113</v>
      </c>
      <c r="E26" s="2">
        <v>15</v>
      </c>
      <c r="F26" s="4">
        <v>1</v>
      </c>
      <c r="G26" s="12">
        <f>3601*2</f>
        <v>7202</v>
      </c>
      <c r="H26" s="9">
        <f t="shared" si="0"/>
        <v>86424</v>
      </c>
      <c r="I26" s="12"/>
      <c r="J26" s="12"/>
      <c r="K26" s="12">
        <v>11845.394736842105</v>
      </c>
      <c r="L26" s="12"/>
      <c r="M26" s="12"/>
      <c r="N26" s="12"/>
      <c r="O26" s="10">
        <f t="shared" si="1"/>
        <v>98269.394736842107</v>
      </c>
      <c r="P26">
        <f t="shared" si="2"/>
        <v>11845.394736842105</v>
      </c>
    </row>
    <row r="27" spans="1:16" ht="30" customHeight="1" x14ac:dyDescent="0.25">
      <c r="A27" s="36" t="s">
        <v>18</v>
      </c>
      <c r="B27" s="37"/>
      <c r="C27" s="6" t="s">
        <v>49</v>
      </c>
      <c r="D27" s="3">
        <v>113</v>
      </c>
      <c r="E27" s="2">
        <v>15</v>
      </c>
      <c r="F27" s="4">
        <v>1</v>
      </c>
      <c r="G27" s="12">
        <f>4207*2</f>
        <v>8414</v>
      </c>
      <c r="H27" s="9">
        <f t="shared" si="0"/>
        <v>100968</v>
      </c>
      <c r="I27" s="12"/>
      <c r="J27" s="12"/>
      <c r="K27" s="12">
        <v>13838.815789473685</v>
      </c>
      <c r="L27" s="12"/>
      <c r="M27" s="12"/>
      <c r="N27" s="12"/>
      <c r="O27" s="10">
        <f t="shared" si="1"/>
        <v>114806.81578947368</v>
      </c>
      <c r="P27">
        <f t="shared" si="2"/>
        <v>13838.815789473685</v>
      </c>
    </row>
    <row r="28" spans="1:16" ht="30" customHeight="1" x14ac:dyDescent="0.25">
      <c r="A28" s="36" t="s">
        <v>51</v>
      </c>
      <c r="B28" s="37"/>
      <c r="C28" s="6" t="s">
        <v>49</v>
      </c>
      <c r="D28" s="3">
        <v>113</v>
      </c>
      <c r="E28" s="2">
        <v>15</v>
      </c>
      <c r="F28" s="4">
        <v>1</v>
      </c>
      <c r="G28" s="12">
        <f>6321*2</f>
        <v>12642</v>
      </c>
      <c r="H28" s="9">
        <f t="shared" si="0"/>
        <v>151704</v>
      </c>
      <c r="I28" s="12"/>
      <c r="J28" s="12"/>
      <c r="K28" s="12">
        <v>20792.763157894737</v>
      </c>
      <c r="L28" s="12"/>
      <c r="M28" s="12"/>
      <c r="N28" s="12"/>
      <c r="O28" s="10">
        <f t="shared" si="1"/>
        <v>172496.76315789475</v>
      </c>
      <c r="P28">
        <f t="shared" si="2"/>
        <v>20792.763157894737</v>
      </c>
    </row>
    <row r="29" spans="1:16" ht="30" customHeight="1" x14ac:dyDescent="0.25">
      <c r="A29" s="36" t="s">
        <v>53</v>
      </c>
      <c r="B29" s="37"/>
      <c r="C29" s="6" t="s">
        <v>54</v>
      </c>
      <c r="D29" s="3">
        <v>113</v>
      </c>
      <c r="E29" s="2">
        <v>15</v>
      </c>
      <c r="F29" s="4">
        <v>1</v>
      </c>
      <c r="G29" s="12">
        <f>1868*2</f>
        <v>3736</v>
      </c>
      <c r="H29" s="9">
        <f t="shared" si="0"/>
        <v>44832</v>
      </c>
      <c r="I29" s="12"/>
      <c r="J29" s="12"/>
      <c r="K29" s="12">
        <v>6144.7368421052633</v>
      </c>
      <c r="L29" s="12"/>
      <c r="M29" s="12"/>
      <c r="N29" s="12"/>
      <c r="O29" s="10">
        <f t="shared" si="1"/>
        <v>50976.736842105267</v>
      </c>
      <c r="P29">
        <f t="shared" si="2"/>
        <v>6144.7368421052633</v>
      </c>
    </row>
    <row r="30" spans="1:16" ht="30" customHeight="1" x14ac:dyDescent="0.25">
      <c r="A30" s="36" t="s">
        <v>15</v>
      </c>
      <c r="B30" s="37"/>
      <c r="C30" s="6" t="s">
        <v>54</v>
      </c>
      <c r="D30" s="3">
        <v>113</v>
      </c>
      <c r="E30" s="2">
        <v>15</v>
      </c>
      <c r="F30" s="4">
        <v>1</v>
      </c>
      <c r="G30" s="11">
        <f>2111*2</f>
        <v>4222</v>
      </c>
      <c r="H30" s="9">
        <f t="shared" si="0"/>
        <v>50664</v>
      </c>
      <c r="I30" s="11"/>
      <c r="J30" s="11"/>
      <c r="K30" s="11">
        <v>6944.0789473684217</v>
      </c>
      <c r="L30" s="11"/>
      <c r="M30" s="11"/>
      <c r="N30" s="11"/>
      <c r="O30" s="10">
        <f t="shared" si="1"/>
        <v>57608.07894736842</v>
      </c>
      <c r="P30">
        <f t="shared" si="2"/>
        <v>6944.0789473684217</v>
      </c>
    </row>
    <row r="31" spans="1:16" ht="30" customHeight="1" x14ac:dyDescent="0.25">
      <c r="A31" s="36" t="s">
        <v>55</v>
      </c>
      <c r="B31" s="37"/>
      <c r="C31" s="6" t="s">
        <v>54</v>
      </c>
      <c r="D31" s="3">
        <v>113</v>
      </c>
      <c r="E31" s="2">
        <v>15</v>
      </c>
      <c r="F31" s="4">
        <v>1</v>
      </c>
      <c r="G31" s="12">
        <f>3829*2</f>
        <v>7658</v>
      </c>
      <c r="H31" s="9">
        <f t="shared" si="0"/>
        <v>91896</v>
      </c>
      <c r="I31" s="12"/>
      <c r="J31" s="12"/>
      <c r="K31" s="12">
        <v>12595.394736842105</v>
      </c>
      <c r="L31" s="12"/>
      <c r="M31" s="12"/>
      <c r="N31" s="12"/>
      <c r="O31" s="10">
        <f t="shared" si="1"/>
        <v>104491.39473684211</v>
      </c>
      <c r="P31">
        <f t="shared" si="2"/>
        <v>12595.394736842105</v>
      </c>
    </row>
    <row r="32" spans="1:16" ht="30" customHeight="1" x14ac:dyDescent="0.25">
      <c r="A32" s="24" t="s">
        <v>73</v>
      </c>
      <c r="B32" s="24"/>
      <c r="C32" s="6" t="s">
        <v>70</v>
      </c>
      <c r="D32" s="3">
        <v>113</v>
      </c>
      <c r="E32" s="2">
        <v>15</v>
      </c>
      <c r="F32" s="4">
        <v>1</v>
      </c>
      <c r="G32" s="12">
        <f>2691*2</f>
        <v>5382</v>
      </c>
      <c r="H32" s="9">
        <f t="shared" si="0"/>
        <v>64584</v>
      </c>
      <c r="I32" s="12"/>
      <c r="J32" s="12"/>
      <c r="K32" s="12">
        <v>8851.9736842105267</v>
      </c>
      <c r="L32" s="12"/>
      <c r="M32" s="12"/>
      <c r="N32" s="12"/>
      <c r="O32" s="10">
        <f t="shared" si="1"/>
        <v>73435.973684210534</v>
      </c>
      <c r="P32">
        <f t="shared" si="2"/>
        <v>8851.9736842105267</v>
      </c>
    </row>
    <row r="33" spans="1:16" ht="30" customHeight="1" x14ac:dyDescent="0.25">
      <c r="A33" s="36" t="s">
        <v>56</v>
      </c>
      <c r="B33" s="37"/>
      <c r="C33" s="6" t="s">
        <v>54</v>
      </c>
      <c r="D33" s="3">
        <v>113</v>
      </c>
      <c r="E33" s="2">
        <v>15</v>
      </c>
      <c r="F33" s="4">
        <v>1</v>
      </c>
      <c r="G33" s="12">
        <f>3183*2</f>
        <v>6366</v>
      </c>
      <c r="H33" s="9">
        <f t="shared" si="0"/>
        <v>76392</v>
      </c>
      <c r="I33" s="12"/>
      <c r="J33" s="12"/>
      <c r="K33" s="12">
        <v>10470.394736842105</v>
      </c>
      <c r="L33" s="12"/>
      <c r="M33" s="12"/>
      <c r="N33" s="12"/>
      <c r="O33" s="10">
        <f t="shared" si="1"/>
        <v>86862.394736842107</v>
      </c>
      <c r="P33">
        <f t="shared" si="2"/>
        <v>10470.394736842105</v>
      </c>
    </row>
    <row r="34" spans="1:16" ht="30" customHeight="1" x14ac:dyDescent="0.25">
      <c r="A34" s="36" t="s">
        <v>57</v>
      </c>
      <c r="B34" s="37"/>
      <c r="C34" s="6" t="s">
        <v>54</v>
      </c>
      <c r="D34" s="3">
        <v>113</v>
      </c>
      <c r="E34" s="2">
        <v>15</v>
      </c>
      <c r="F34" s="4">
        <v>1</v>
      </c>
      <c r="G34" s="12">
        <f>3347*2</f>
        <v>6694</v>
      </c>
      <c r="H34" s="9">
        <f t="shared" si="0"/>
        <v>80328</v>
      </c>
      <c r="I34" s="12"/>
      <c r="J34" s="12"/>
      <c r="K34" s="12">
        <v>11009.868421052632</v>
      </c>
      <c r="L34" s="12"/>
      <c r="M34" s="12"/>
      <c r="N34" s="12"/>
      <c r="O34" s="10">
        <f t="shared" si="1"/>
        <v>91337.868421052626</v>
      </c>
      <c r="P34">
        <f t="shared" si="2"/>
        <v>11009.868421052632</v>
      </c>
    </row>
    <row r="35" spans="1:16" ht="30" customHeight="1" x14ac:dyDescent="0.25">
      <c r="A35" s="36" t="s">
        <v>58</v>
      </c>
      <c r="B35" s="37"/>
      <c r="C35" s="6" t="s">
        <v>54</v>
      </c>
      <c r="D35" s="3">
        <v>113</v>
      </c>
      <c r="E35" s="2">
        <v>15</v>
      </c>
      <c r="F35" s="4">
        <v>1</v>
      </c>
      <c r="G35" s="12">
        <f>1141*2</f>
        <v>2282</v>
      </c>
      <c r="H35" s="9">
        <f t="shared" si="0"/>
        <v>27384</v>
      </c>
      <c r="I35" s="12"/>
      <c r="J35" s="12"/>
      <c r="K35" s="12">
        <v>3753.2894736842109</v>
      </c>
      <c r="L35" s="12"/>
      <c r="M35" s="12"/>
      <c r="N35" s="12"/>
      <c r="O35" s="10">
        <f t="shared" si="1"/>
        <v>31137.28947368421</v>
      </c>
      <c r="P35">
        <f t="shared" si="2"/>
        <v>3753.2894736842109</v>
      </c>
    </row>
    <row r="36" spans="1:16" ht="30" customHeight="1" x14ac:dyDescent="0.25">
      <c r="A36" s="36" t="s">
        <v>59</v>
      </c>
      <c r="B36" s="37"/>
      <c r="C36" s="6" t="s">
        <v>54</v>
      </c>
      <c r="D36" s="3">
        <v>113</v>
      </c>
      <c r="E36" s="2">
        <v>15</v>
      </c>
      <c r="F36" s="4">
        <v>1</v>
      </c>
      <c r="G36" s="12">
        <f>1553*2</f>
        <v>3106</v>
      </c>
      <c r="H36" s="9">
        <f t="shared" si="0"/>
        <v>37272</v>
      </c>
      <c r="I36" s="12"/>
      <c r="J36" s="12"/>
      <c r="K36" s="12">
        <v>5108.5526315789475</v>
      </c>
      <c r="L36" s="12"/>
      <c r="M36" s="12"/>
      <c r="N36" s="12"/>
      <c r="O36" s="10">
        <f t="shared" si="1"/>
        <v>42380.552631578947</v>
      </c>
      <c r="P36">
        <f t="shared" si="2"/>
        <v>5108.5526315789475</v>
      </c>
    </row>
    <row r="37" spans="1:16" ht="30" customHeight="1" x14ac:dyDescent="0.25">
      <c r="A37" s="36" t="s">
        <v>60</v>
      </c>
      <c r="B37" s="37"/>
      <c r="C37" s="6" t="s">
        <v>54</v>
      </c>
      <c r="D37" s="3">
        <v>113</v>
      </c>
      <c r="E37" s="2">
        <v>15</v>
      </c>
      <c r="F37" s="4">
        <v>1</v>
      </c>
      <c r="G37" s="12">
        <f>1356*2</f>
        <v>2712</v>
      </c>
      <c r="H37" s="9">
        <f t="shared" si="0"/>
        <v>32544</v>
      </c>
      <c r="I37" s="11"/>
      <c r="J37" s="11"/>
      <c r="K37" s="11">
        <v>4460.5263157894742</v>
      </c>
      <c r="L37" s="11"/>
      <c r="M37" s="11"/>
      <c r="N37" s="11"/>
      <c r="O37" s="10">
        <f t="shared" si="1"/>
        <v>37004.526315789473</v>
      </c>
      <c r="P37">
        <f t="shared" si="2"/>
        <v>4460.5263157894742</v>
      </c>
    </row>
    <row r="38" spans="1:16" ht="30" customHeight="1" x14ac:dyDescent="0.25">
      <c r="A38" s="36" t="s">
        <v>82</v>
      </c>
      <c r="B38" s="37"/>
      <c r="C38" s="6" t="s">
        <v>54</v>
      </c>
      <c r="D38" s="3">
        <v>113</v>
      </c>
      <c r="E38" s="2">
        <v>15</v>
      </c>
      <c r="F38" s="4">
        <v>1</v>
      </c>
      <c r="G38" s="12">
        <f>1855*2</f>
        <v>3710</v>
      </c>
      <c r="H38" s="9">
        <f t="shared" si="0"/>
        <v>44520</v>
      </c>
      <c r="I38" s="12"/>
      <c r="J38" s="12"/>
      <c r="K38" s="12">
        <v>6101.9736842105267</v>
      </c>
      <c r="L38" s="12"/>
      <c r="M38" s="12"/>
      <c r="N38" s="12"/>
      <c r="O38" s="10">
        <f t="shared" si="1"/>
        <v>50621.973684210527</v>
      </c>
      <c r="P38">
        <f t="shared" si="2"/>
        <v>6101.9736842105267</v>
      </c>
    </row>
    <row r="39" spans="1:16" ht="30" customHeight="1" x14ac:dyDescent="0.25">
      <c r="A39" s="36" t="s">
        <v>60</v>
      </c>
      <c r="B39" s="37"/>
      <c r="C39" s="6" t="s">
        <v>54</v>
      </c>
      <c r="D39" s="3">
        <v>113</v>
      </c>
      <c r="E39" s="2">
        <v>15</v>
      </c>
      <c r="F39" s="4">
        <v>1</v>
      </c>
      <c r="G39" s="12">
        <f>1483*2</f>
        <v>2966</v>
      </c>
      <c r="H39" s="9">
        <f t="shared" si="0"/>
        <v>35592</v>
      </c>
      <c r="I39" s="11"/>
      <c r="J39" s="11"/>
      <c r="K39" s="11">
        <v>4878.2894736842109</v>
      </c>
      <c r="L39" s="11"/>
      <c r="M39" s="11"/>
      <c r="N39" s="11"/>
      <c r="O39" s="10">
        <f t="shared" si="1"/>
        <v>40470.289473684214</v>
      </c>
      <c r="P39">
        <f t="shared" si="2"/>
        <v>4878.2894736842109</v>
      </c>
    </row>
    <row r="40" spans="1:16" ht="30" customHeight="1" x14ac:dyDescent="0.25">
      <c r="A40" s="36" t="s">
        <v>61</v>
      </c>
      <c r="B40" s="37"/>
      <c r="C40" s="6" t="s">
        <v>54</v>
      </c>
      <c r="D40" s="3">
        <v>113</v>
      </c>
      <c r="E40" s="2">
        <v>15</v>
      </c>
      <c r="F40" s="4">
        <v>1</v>
      </c>
      <c r="G40" s="12">
        <f>3429*2</f>
        <v>6858</v>
      </c>
      <c r="H40" s="9">
        <f t="shared" si="0"/>
        <v>82296</v>
      </c>
      <c r="I40" s="12"/>
      <c r="J40" s="12"/>
      <c r="K40" s="11">
        <v>11279.605263157897</v>
      </c>
      <c r="L40" s="12"/>
      <c r="M40" s="12"/>
      <c r="N40" s="12"/>
      <c r="O40" s="10">
        <f t="shared" si="1"/>
        <v>93575.605263157893</v>
      </c>
      <c r="P40">
        <f t="shared" si="2"/>
        <v>11279.605263157897</v>
      </c>
    </row>
    <row r="41" spans="1:16" ht="30" customHeight="1" x14ac:dyDescent="0.25">
      <c r="A41" s="36" t="s">
        <v>62</v>
      </c>
      <c r="B41" s="37"/>
      <c r="C41" s="6" t="s">
        <v>54</v>
      </c>
      <c r="D41" s="3">
        <v>113</v>
      </c>
      <c r="E41" s="2">
        <v>15</v>
      </c>
      <c r="F41" s="4">
        <v>1</v>
      </c>
      <c r="G41" s="12">
        <f>1135*2</f>
        <v>2270</v>
      </c>
      <c r="H41" s="9">
        <f t="shared" si="0"/>
        <v>27240</v>
      </c>
      <c r="I41" s="12"/>
      <c r="J41" s="12"/>
      <c r="K41" s="12">
        <v>3733.5526315789471</v>
      </c>
      <c r="L41" s="12"/>
      <c r="M41" s="12"/>
      <c r="N41" s="12"/>
      <c r="O41" s="10">
        <f t="shared" si="1"/>
        <v>30973.552631578947</v>
      </c>
      <c r="P41">
        <f t="shared" si="2"/>
        <v>3733.5526315789471</v>
      </c>
    </row>
    <row r="42" spans="1:16" ht="30" customHeight="1" x14ac:dyDescent="0.25">
      <c r="A42" s="41" t="s">
        <v>86</v>
      </c>
      <c r="B42" s="42"/>
      <c r="C42" s="6" t="s">
        <v>54</v>
      </c>
      <c r="D42" s="3">
        <v>113</v>
      </c>
      <c r="E42" s="2">
        <v>15</v>
      </c>
      <c r="F42" s="4">
        <v>1</v>
      </c>
      <c r="G42" s="12">
        <v>2583</v>
      </c>
      <c r="H42" s="9">
        <f t="shared" si="0"/>
        <v>30996</v>
      </c>
      <c r="I42" s="13"/>
      <c r="J42" s="13"/>
      <c r="K42" s="13">
        <v>4248.355263157895</v>
      </c>
      <c r="L42" s="13"/>
      <c r="M42" s="13"/>
      <c r="N42" s="13"/>
      <c r="O42" s="10">
        <f t="shared" si="1"/>
        <v>35244.355263157893</v>
      </c>
      <c r="P42">
        <f t="shared" si="2"/>
        <v>4248.355263157895</v>
      </c>
    </row>
    <row r="43" spans="1:16" ht="30" customHeight="1" x14ac:dyDescent="0.25">
      <c r="A43" s="36" t="s">
        <v>14</v>
      </c>
      <c r="B43" s="37"/>
      <c r="C43" s="6" t="s">
        <v>13</v>
      </c>
      <c r="D43" s="3">
        <v>113</v>
      </c>
      <c r="E43" s="2">
        <v>15</v>
      </c>
      <c r="F43" s="5">
        <v>1</v>
      </c>
      <c r="G43" s="11">
        <f>1309*2</f>
        <v>2618</v>
      </c>
      <c r="H43" s="9">
        <f t="shared" si="0"/>
        <v>31416</v>
      </c>
      <c r="I43" s="13"/>
      <c r="J43" s="13"/>
      <c r="K43" s="13">
        <v>4305.9210526315792</v>
      </c>
      <c r="L43" s="13"/>
      <c r="M43" s="13"/>
      <c r="N43" s="13"/>
      <c r="O43" s="10">
        <f t="shared" si="1"/>
        <v>35721.92105263158</v>
      </c>
      <c r="P43">
        <f t="shared" si="2"/>
        <v>4305.9210526315792</v>
      </c>
    </row>
    <row r="44" spans="1:16" ht="30" customHeight="1" x14ac:dyDescent="0.25">
      <c r="A44" s="36" t="s">
        <v>0</v>
      </c>
      <c r="B44" s="37"/>
      <c r="C44" s="6" t="s">
        <v>13</v>
      </c>
      <c r="D44" s="3">
        <v>113</v>
      </c>
      <c r="E44" s="2">
        <v>15</v>
      </c>
      <c r="F44" s="5">
        <v>1</v>
      </c>
      <c r="G44" s="12">
        <f>2734*2</f>
        <v>5468</v>
      </c>
      <c r="H44" s="9">
        <f t="shared" si="0"/>
        <v>65616</v>
      </c>
      <c r="I44" s="12"/>
      <c r="J44" s="12"/>
      <c r="K44" s="12">
        <v>8993.4210526315801</v>
      </c>
      <c r="L44" s="12"/>
      <c r="M44" s="12"/>
      <c r="N44" s="12"/>
      <c r="O44" s="10">
        <f t="shared" si="1"/>
        <v>74609.421052631573</v>
      </c>
      <c r="P44">
        <f t="shared" si="2"/>
        <v>8993.4210526315801</v>
      </c>
    </row>
    <row r="45" spans="1:16" ht="30" customHeight="1" x14ac:dyDescent="0.25">
      <c r="A45" s="36" t="s">
        <v>63</v>
      </c>
      <c r="B45" s="37"/>
      <c r="C45" s="6" t="s">
        <v>13</v>
      </c>
      <c r="D45" s="3">
        <v>113</v>
      </c>
      <c r="E45" s="2">
        <v>15</v>
      </c>
      <c r="F45" s="4">
        <v>1</v>
      </c>
      <c r="G45" s="12">
        <f>1797*2</f>
        <v>3594</v>
      </c>
      <c r="H45" s="9">
        <f t="shared" si="0"/>
        <v>43128</v>
      </c>
      <c r="I45" s="12"/>
      <c r="J45" s="12"/>
      <c r="K45" s="12">
        <v>5911.1842105263158</v>
      </c>
      <c r="L45" s="12"/>
      <c r="M45" s="12"/>
      <c r="N45" s="12"/>
      <c r="O45" s="10">
        <f t="shared" si="1"/>
        <v>49039.184210526313</v>
      </c>
      <c r="P45">
        <f t="shared" si="2"/>
        <v>5911.1842105263158</v>
      </c>
    </row>
    <row r="46" spans="1:16" ht="30" customHeight="1" x14ac:dyDescent="0.25">
      <c r="A46" s="36" t="s">
        <v>64</v>
      </c>
      <c r="B46" s="37"/>
      <c r="C46" s="6" t="s">
        <v>13</v>
      </c>
      <c r="D46" s="3">
        <v>113</v>
      </c>
      <c r="E46" s="2">
        <v>15</v>
      </c>
      <c r="F46" s="4">
        <v>1</v>
      </c>
      <c r="G46" s="12">
        <f>2955*2</f>
        <v>5910</v>
      </c>
      <c r="H46" s="9">
        <f t="shared" si="0"/>
        <v>70920</v>
      </c>
      <c r="I46" s="12"/>
      <c r="J46" s="12"/>
      <c r="K46" s="12">
        <v>9720.394736842105</v>
      </c>
      <c r="L46" s="12"/>
      <c r="M46" s="12"/>
      <c r="N46" s="12"/>
      <c r="O46" s="10">
        <f t="shared" si="1"/>
        <v>80640.394736842107</v>
      </c>
      <c r="P46">
        <f t="shared" si="2"/>
        <v>9720.394736842105</v>
      </c>
    </row>
    <row r="47" spans="1:16" ht="30" customHeight="1" x14ac:dyDescent="0.25">
      <c r="A47" s="36" t="s">
        <v>83</v>
      </c>
      <c r="B47" s="37"/>
      <c r="C47" s="6" t="s">
        <v>13</v>
      </c>
      <c r="D47" s="3">
        <v>113</v>
      </c>
      <c r="E47" s="2">
        <v>15</v>
      </c>
      <c r="F47" s="4">
        <v>1</v>
      </c>
      <c r="G47" s="11">
        <f>3363*2</f>
        <v>6726</v>
      </c>
      <c r="H47" s="9">
        <f t="shared" si="0"/>
        <v>80712</v>
      </c>
      <c r="I47" s="12"/>
      <c r="J47" s="12"/>
      <c r="K47" s="12">
        <v>11062.5</v>
      </c>
      <c r="L47" s="12"/>
      <c r="M47" s="12"/>
      <c r="N47" s="12"/>
      <c r="O47" s="10">
        <f t="shared" si="1"/>
        <v>91774.5</v>
      </c>
      <c r="P47">
        <f t="shared" si="2"/>
        <v>11062.5</v>
      </c>
    </row>
    <row r="48" spans="1:16" ht="30" customHeight="1" x14ac:dyDescent="0.25">
      <c r="A48" s="36" t="s">
        <v>0</v>
      </c>
      <c r="B48" s="37"/>
      <c r="C48" s="6" t="s">
        <v>12</v>
      </c>
      <c r="D48" s="3">
        <v>113</v>
      </c>
      <c r="E48" s="2">
        <v>15</v>
      </c>
      <c r="F48" s="4">
        <v>1</v>
      </c>
      <c r="G48" s="12">
        <f>2701*2</f>
        <v>5402</v>
      </c>
      <c r="H48" s="9">
        <f t="shared" si="0"/>
        <v>64824</v>
      </c>
      <c r="I48" s="12"/>
      <c r="J48" s="12"/>
      <c r="K48" s="12">
        <v>8884.8684210526317</v>
      </c>
      <c r="L48" s="12"/>
      <c r="M48" s="12"/>
      <c r="N48" s="12"/>
      <c r="O48" s="10">
        <f t="shared" si="1"/>
        <v>73708.868421052626</v>
      </c>
      <c r="P48">
        <f t="shared" si="2"/>
        <v>8884.8684210526317</v>
      </c>
    </row>
    <row r="49" spans="1:16" ht="30" customHeight="1" x14ac:dyDescent="0.25">
      <c r="A49" s="36" t="s">
        <v>11</v>
      </c>
      <c r="B49" s="37"/>
      <c r="C49" s="6" t="s">
        <v>10</v>
      </c>
      <c r="D49" s="3">
        <v>113</v>
      </c>
      <c r="E49" s="2">
        <v>15</v>
      </c>
      <c r="F49" s="4">
        <v>6</v>
      </c>
      <c r="G49" s="12">
        <f>739*2</f>
        <v>1478</v>
      </c>
      <c r="H49" s="9">
        <f t="shared" si="0"/>
        <v>106416</v>
      </c>
      <c r="I49" s="12"/>
      <c r="J49" s="12"/>
      <c r="K49" s="12">
        <v>2430.9210526315792</v>
      </c>
      <c r="L49" s="12"/>
      <c r="M49" s="12"/>
      <c r="N49" s="12"/>
      <c r="O49" s="10">
        <f t="shared" si="1"/>
        <v>108846.92105263157</v>
      </c>
      <c r="P49">
        <f t="shared" si="2"/>
        <v>2430.9210526315792</v>
      </c>
    </row>
    <row r="50" spans="1:16" ht="30" customHeight="1" x14ac:dyDescent="0.25">
      <c r="A50" s="36" t="s">
        <v>7</v>
      </c>
      <c r="B50" s="37"/>
      <c r="C50" s="6" t="s">
        <v>9</v>
      </c>
      <c r="D50" s="3">
        <v>113</v>
      </c>
      <c r="E50" s="2">
        <v>15</v>
      </c>
      <c r="F50" s="4">
        <v>1</v>
      </c>
      <c r="G50" s="12">
        <f>3432*2</f>
        <v>6864</v>
      </c>
      <c r="H50" s="9">
        <f t="shared" si="0"/>
        <v>82368</v>
      </c>
      <c r="I50" s="12"/>
      <c r="J50" s="12"/>
      <c r="K50" s="12">
        <v>11289.473684210527</v>
      </c>
      <c r="L50" s="12"/>
      <c r="M50" s="12"/>
      <c r="N50" s="12"/>
      <c r="O50" s="10">
        <f t="shared" si="1"/>
        <v>93657.473684210534</v>
      </c>
      <c r="P50">
        <f t="shared" si="2"/>
        <v>11289.473684210527</v>
      </c>
    </row>
    <row r="51" spans="1:16" ht="30" customHeight="1" x14ac:dyDescent="0.25">
      <c r="A51" s="36" t="s">
        <v>14</v>
      </c>
      <c r="B51" s="37"/>
      <c r="C51" s="6" t="s">
        <v>9</v>
      </c>
      <c r="D51" s="3">
        <v>113</v>
      </c>
      <c r="E51" s="2">
        <v>15</v>
      </c>
      <c r="F51" s="4">
        <v>1</v>
      </c>
      <c r="G51" s="12">
        <f>1216*2</f>
        <v>2432</v>
      </c>
      <c r="H51" s="9">
        <f t="shared" si="0"/>
        <v>29184</v>
      </c>
      <c r="I51" s="12"/>
      <c r="J51" s="12"/>
      <c r="K51" s="12">
        <v>4000</v>
      </c>
      <c r="L51" s="12"/>
      <c r="M51" s="12"/>
      <c r="N51" s="12"/>
      <c r="O51" s="10">
        <f t="shared" si="1"/>
        <v>33184</v>
      </c>
      <c r="P51">
        <f t="shared" si="2"/>
        <v>4000</v>
      </c>
    </row>
    <row r="52" spans="1:16" ht="30" customHeight="1" x14ac:dyDescent="0.25">
      <c r="A52" s="41" t="s">
        <v>87</v>
      </c>
      <c r="B52" s="42"/>
      <c r="C52" s="6" t="s">
        <v>9</v>
      </c>
      <c r="D52" s="3">
        <v>113</v>
      </c>
      <c r="E52" s="2">
        <v>15</v>
      </c>
      <c r="F52" s="4">
        <v>1</v>
      </c>
      <c r="G52" s="12">
        <f>2496*2</f>
        <v>4992</v>
      </c>
      <c r="H52" s="9">
        <f t="shared" si="0"/>
        <v>59904</v>
      </c>
      <c r="I52" s="11"/>
      <c r="J52" s="11"/>
      <c r="K52" s="11">
        <v>8210.5263157894733</v>
      </c>
      <c r="L52" s="11"/>
      <c r="M52" s="11"/>
      <c r="N52" s="11"/>
      <c r="O52" s="10">
        <f t="shared" si="1"/>
        <v>68114.526315789466</v>
      </c>
      <c r="P52">
        <f t="shared" si="2"/>
        <v>8210.5263157894733</v>
      </c>
    </row>
    <row r="53" spans="1:16" ht="30" customHeight="1" x14ac:dyDescent="0.25">
      <c r="A53" s="36" t="s">
        <v>65</v>
      </c>
      <c r="B53" s="37"/>
      <c r="C53" s="6" t="s">
        <v>66</v>
      </c>
      <c r="D53" s="3">
        <v>113</v>
      </c>
      <c r="E53" s="2">
        <v>15</v>
      </c>
      <c r="F53" s="4">
        <v>13</v>
      </c>
      <c r="G53" s="12">
        <f>4733*2</f>
        <v>9466</v>
      </c>
      <c r="H53" s="9">
        <f t="shared" si="0"/>
        <v>1476696</v>
      </c>
      <c r="I53" s="12"/>
      <c r="J53" s="12"/>
      <c r="K53" s="12">
        <v>15569.078947368422</v>
      </c>
      <c r="L53" s="12"/>
      <c r="M53" s="12"/>
      <c r="N53" s="12"/>
      <c r="O53" s="10">
        <f t="shared" si="1"/>
        <v>1492265.0789473683</v>
      </c>
      <c r="P53">
        <f t="shared" si="2"/>
        <v>15569.078947368422</v>
      </c>
    </row>
    <row r="54" spans="1:16" ht="30" customHeight="1" x14ac:dyDescent="0.25">
      <c r="A54" s="36" t="s">
        <v>7</v>
      </c>
      <c r="B54" s="37"/>
      <c r="C54" s="6" t="s">
        <v>66</v>
      </c>
      <c r="D54" s="3">
        <v>113</v>
      </c>
      <c r="E54" s="2">
        <v>15</v>
      </c>
      <c r="F54" s="4">
        <v>1</v>
      </c>
      <c r="G54" s="12">
        <f>7652*2</f>
        <v>15304</v>
      </c>
      <c r="H54" s="9">
        <f t="shared" si="0"/>
        <v>183648</v>
      </c>
      <c r="I54" s="12"/>
      <c r="J54" s="12"/>
      <c r="K54" s="12">
        <v>25171.052631578947</v>
      </c>
      <c r="L54" s="12"/>
      <c r="M54" s="12"/>
      <c r="N54" s="12"/>
      <c r="O54" s="10">
        <f t="shared" si="1"/>
        <v>208819.05263157893</v>
      </c>
      <c r="P54">
        <f t="shared" si="2"/>
        <v>25171.052631578947</v>
      </c>
    </row>
    <row r="55" spans="1:16" ht="30" customHeight="1" x14ac:dyDescent="0.25">
      <c r="A55" s="36" t="s">
        <v>8</v>
      </c>
      <c r="B55" s="37"/>
      <c r="C55" s="6" t="s">
        <v>66</v>
      </c>
      <c r="D55" s="3">
        <v>113</v>
      </c>
      <c r="E55" s="2">
        <v>15</v>
      </c>
      <c r="F55" s="4">
        <v>3</v>
      </c>
      <c r="G55" s="11">
        <f>5299*2</f>
        <v>10598</v>
      </c>
      <c r="H55" s="9">
        <f t="shared" si="0"/>
        <v>381528</v>
      </c>
      <c r="I55" s="12"/>
      <c r="J55" s="12"/>
      <c r="K55" s="12">
        <v>17430.92105263158</v>
      </c>
      <c r="L55" s="12"/>
      <c r="M55" s="12"/>
      <c r="N55" s="12"/>
      <c r="O55" s="10">
        <f t="shared" si="1"/>
        <v>398958.92105263157</v>
      </c>
      <c r="P55">
        <f t="shared" si="2"/>
        <v>17430.92105263158</v>
      </c>
    </row>
    <row r="56" spans="1:16" ht="30" customHeight="1" x14ac:dyDescent="0.25">
      <c r="A56" s="36" t="s">
        <v>8</v>
      </c>
      <c r="B56" s="37"/>
      <c r="C56" s="6" t="s">
        <v>67</v>
      </c>
      <c r="D56" s="3">
        <v>113</v>
      </c>
      <c r="E56" s="2">
        <v>15</v>
      </c>
      <c r="F56" s="4">
        <v>1</v>
      </c>
      <c r="G56" s="12">
        <f>4183*2</f>
        <v>8366</v>
      </c>
      <c r="H56" s="9">
        <f t="shared" si="0"/>
        <v>100392</v>
      </c>
      <c r="I56" s="11"/>
      <c r="J56" s="11"/>
      <c r="K56" s="11">
        <v>13759.868421052633</v>
      </c>
      <c r="L56" s="11"/>
      <c r="M56" s="11"/>
      <c r="N56" s="11"/>
      <c r="O56" s="10">
        <f t="shared" si="1"/>
        <v>114151.86842105264</v>
      </c>
      <c r="P56">
        <f t="shared" si="2"/>
        <v>13759.868421052633</v>
      </c>
    </row>
    <row r="57" spans="1:16" ht="30" customHeight="1" x14ac:dyDescent="0.25">
      <c r="A57" s="36" t="s">
        <v>68</v>
      </c>
      <c r="B57" s="37"/>
      <c r="C57" s="6" t="s">
        <v>67</v>
      </c>
      <c r="D57" s="3">
        <v>113</v>
      </c>
      <c r="E57" s="2">
        <v>15</v>
      </c>
      <c r="F57" s="4">
        <v>1</v>
      </c>
      <c r="G57" s="12">
        <f>3282*2</f>
        <v>6564</v>
      </c>
      <c r="H57" s="9">
        <f t="shared" si="0"/>
        <v>78768</v>
      </c>
      <c r="I57" s="12"/>
      <c r="J57" s="12"/>
      <c r="K57" s="12">
        <v>10796.052631578948</v>
      </c>
      <c r="L57" s="12"/>
      <c r="M57" s="12"/>
      <c r="N57" s="12"/>
      <c r="O57" s="10">
        <f t="shared" si="1"/>
        <v>89564.052631578947</v>
      </c>
      <c r="P57">
        <f t="shared" si="2"/>
        <v>10796.052631578948</v>
      </c>
    </row>
    <row r="58" spans="1:16" ht="30" customHeight="1" x14ac:dyDescent="0.25">
      <c r="A58" s="36" t="s">
        <v>68</v>
      </c>
      <c r="B58" s="37"/>
      <c r="C58" s="6" t="s">
        <v>67</v>
      </c>
      <c r="D58" s="3">
        <v>113</v>
      </c>
      <c r="E58" s="2">
        <v>15</v>
      </c>
      <c r="F58" s="4">
        <v>1</v>
      </c>
      <c r="G58" s="11">
        <f>3039*2</f>
        <v>6078</v>
      </c>
      <c r="H58" s="9">
        <f t="shared" si="0"/>
        <v>72936</v>
      </c>
      <c r="I58" s="12"/>
      <c r="J58" s="12"/>
      <c r="K58" s="12">
        <v>9996.71052631579</v>
      </c>
      <c r="L58" s="12"/>
      <c r="M58" s="12"/>
      <c r="N58" s="12"/>
      <c r="O58" s="10">
        <f t="shared" si="1"/>
        <v>82932.710526315786</v>
      </c>
      <c r="P58">
        <f t="shared" si="2"/>
        <v>9996.71052631579</v>
      </c>
    </row>
    <row r="59" spans="1:16" ht="30" customHeight="1" x14ac:dyDescent="0.25">
      <c r="A59" s="36" t="s">
        <v>68</v>
      </c>
      <c r="B59" s="37"/>
      <c r="C59" s="6" t="s">
        <v>67</v>
      </c>
      <c r="D59" s="3">
        <v>113</v>
      </c>
      <c r="E59" s="2">
        <v>15</v>
      </c>
      <c r="F59" s="4">
        <v>4</v>
      </c>
      <c r="G59" s="12">
        <f>2926*2</f>
        <v>5852</v>
      </c>
      <c r="H59" s="9">
        <f t="shared" si="0"/>
        <v>280896</v>
      </c>
      <c r="I59" s="12"/>
      <c r="J59" s="12"/>
      <c r="K59" s="12">
        <v>9625</v>
      </c>
      <c r="L59" s="12"/>
      <c r="M59" s="12"/>
      <c r="N59" s="12"/>
      <c r="O59" s="10">
        <f t="shared" si="1"/>
        <v>290521</v>
      </c>
      <c r="P59">
        <f t="shared" si="2"/>
        <v>9625</v>
      </c>
    </row>
    <row r="60" spans="1:16" ht="30" customHeight="1" x14ac:dyDescent="0.25">
      <c r="A60" s="36" t="s">
        <v>68</v>
      </c>
      <c r="B60" s="37"/>
      <c r="C60" s="6" t="s">
        <v>67</v>
      </c>
      <c r="D60" s="3">
        <v>113</v>
      </c>
      <c r="E60" s="2">
        <v>15</v>
      </c>
      <c r="F60" s="4">
        <v>1</v>
      </c>
      <c r="G60" s="12">
        <v>6000</v>
      </c>
      <c r="H60" s="9">
        <f t="shared" si="0"/>
        <v>72000</v>
      </c>
      <c r="I60" s="12"/>
      <c r="J60" s="12"/>
      <c r="K60" s="12">
        <v>9868.4210526315801</v>
      </c>
      <c r="L60" s="12"/>
      <c r="M60" s="12"/>
      <c r="N60" s="12"/>
      <c r="O60" s="10">
        <f t="shared" si="1"/>
        <v>81868.421052631573</v>
      </c>
      <c r="P60">
        <f t="shared" si="2"/>
        <v>9868.4210526315801</v>
      </c>
    </row>
    <row r="61" spans="1:16" ht="30" customHeight="1" x14ac:dyDescent="0.25">
      <c r="A61" s="36" t="s">
        <v>88</v>
      </c>
      <c r="B61" s="37"/>
      <c r="C61" s="6" t="s">
        <v>67</v>
      </c>
      <c r="D61" s="3">
        <v>113</v>
      </c>
      <c r="E61" s="2">
        <v>15</v>
      </c>
      <c r="F61" s="4">
        <v>1</v>
      </c>
      <c r="G61" s="12">
        <v>8612</v>
      </c>
      <c r="H61" s="9">
        <f t="shared" si="0"/>
        <v>103344</v>
      </c>
      <c r="I61" s="12"/>
      <c r="J61" s="12"/>
      <c r="K61" s="12">
        <v>14164.473684210527</v>
      </c>
      <c r="L61" s="12"/>
      <c r="M61" s="12"/>
      <c r="N61" s="12"/>
      <c r="O61" s="10">
        <f t="shared" si="1"/>
        <v>117508.47368421053</v>
      </c>
      <c r="P61">
        <f t="shared" si="2"/>
        <v>14164.473684210527</v>
      </c>
    </row>
    <row r="62" spans="1:16" ht="30" customHeight="1" x14ac:dyDescent="0.25">
      <c r="A62" s="24" t="s">
        <v>72</v>
      </c>
      <c r="B62" s="24"/>
      <c r="C62" s="6" t="s">
        <v>70</v>
      </c>
      <c r="D62" s="3">
        <v>113</v>
      </c>
      <c r="E62" s="2">
        <v>15</v>
      </c>
      <c r="F62" s="4">
        <v>1</v>
      </c>
      <c r="G62" s="12">
        <f>3879*2</f>
        <v>7758</v>
      </c>
      <c r="H62" s="9">
        <f t="shared" si="0"/>
        <v>93096</v>
      </c>
      <c r="I62" s="12"/>
      <c r="J62" s="12"/>
      <c r="K62" s="12">
        <v>12759.868421052632</v>
      </c>
      <c r="L62" s="12"/>
      <c r="M62" s="12"/>
      <c r="N62" s="12"/>
      <c r="O62" s="10">
        <f t="shared" si="1"/>
        <v>105855.86842105263</v>
      </c>
      <c r="P62">
        <f t="shared" si="2"/>
        <v>12759.868421052632</v>
      </c>
    </row>
    <row r="63" spans="1:16" ht="30" customHeight="1" x14ac:dyDescent="0.25">
      <c r="A63" s="41" t="s">
        <v>69</v>
      </c>
      <c r="B63" s="42"/>
      <c r="C63" s="6" t="s">
        <v>70</v>
      </c>
      <c r="D63" s="3">
        <v>113</v>
      </c>
      <c r="E63" s="2">
        <v>15</v>
      </c>
      <c r="F63" s="4">
        <v>1</v>
      </c>
      <c r="G63" s="12">
        <f>3095*2</f>
        <v>6190</v>
      </c>
      <c r="H63" s="9">
        <f t="shared" si="0"/>
        <v>74280</v>
      </c>
      <c r="I63" s="12"/>
      <c r="J63" s="12"/>
      <c r="K63" s="12">
        <v>10180.92105263158</v>
      </c>
      <c r="L63" s="12"/>
      <c r="M63" s="12"/>
      <c r="N63" s="12"/>
      <c r="O63" s="10">
        <f t="shared" si="1"/>
        <v>84460.921052631573</v>
      </c>
      <c r="P63">
        <f t="shared" si="2"/>
        <v>10180.92105263158</v>
      </c>
    </row>
    <row r="64" spans="1:16" ht="30" customHeight="1" x14ac:dyDescent="0.25">
      <c r="A64" s="24" t="s">
        <v>6</v>
      </c>
      <c r="B64" s="24"/>
      <c r="C64" s="6" t="s">
        <v>70</v>
      </c>
      <c r="D64" s="3">
        <v>113</v>
      </c>
      <c r="E64" s="2">
        <v>15</v>
      </c>
      <c r="F64" s="4">
        <v>1</v>
      </c>
      <c r="G64" s="12">
        <f>3465*2</f>
        <v>6930</v>
      </c>
      <c r="H64" s="9">
        <f t="shared" si="0"/>
        <v>83160</v>
      </c>
      <c r="I64" s="12"/>
      <c r="J64" s="12"/>
      <c r="K64" s="12">
        <v>11398.026315789473</v>
      </c>
      <c r="L64" s="12"/>
      <c r="M64" s="12"/>
      <c r="N64" s="12"/>
      <c r="O64" s="10">
        <f t="shared" si="1"/>
        <v>94558.026315789466</v>
      </c>
      <c r="P64">
        <f t="shared" si="2"/>
        <v>11398.026315789473</v>
      </c>
    </row>
    <row r="65" spans="1:16" ht="30" customHeight="1" x14ac:dyDescent="0.25">
      <c r="A65" s="24" t="s">
        <v>71</v>
      </c>
      <c r="B65" s="24"/>
      <c r="C65" s="6" t="s">
        <v>70</v>
      </c>
      <c r="D65" s="3">
        <v>113</v>
      </c>
      <c r="E65" s="2">
        <v>15</v>
      </c>
      <c r="F65" s="4">
        <v>2</v>
      </c>
      <c r="G65" s="12">
        <f>2708*2</f>
        <v>5416</v>
      </c>
      <c r="H65" s="9">
        <f t="shared" si="0"/>
        <v>129984</v>
      </c>
      <c r="I65" s="12"/>
      <c r="J65" s="12"/>
      <c r="K65" s="12">
        <v>8907.894736842105</v>
      </c>
      <c r="L65" s="12"/>
      <c r="M65" s="12"/>
      <c r="N65" s="12"/>
      <c r="O65" s="10">
        <f t="shared" si="1"/>
        <v>138891.89473684211</v>
      </c>
      <c r="P65">
        <f t="shared" si="2"/>
        <v>8907.894736842105</v>
      </c>
    </row>
    <row r="66" spans="1:16" ht="30" customHeight="1" x14ac:dyDescent="0.25">
      <c r="A66" s="24" t="s">
        <v>3</v>
      </c>
      <c r="B66" s="24"/>
      <c r="C66" s="6" t="s">
        <v>70</v>
      </c>
      <c r="D66" s="3">
        <v>113</v>
      </c>
      <c r="E66" s="2">
        <v>15</v>
      </c>
      <c r="F66" s="4">
        <v>1</v>
      </c>
      <c r="G66" s="12">
        <f>3095*2</f>
        <v>6190</v>
      </c>
      <c r="H66" s="9">
        <f t="shared" si="0"/>
        <v>74280</v>
      </c>
      <c r="I66" s="11"/>
      <c r="J66" s="11"/>
      <c r="K66" s="11">
        <v>10180.92105263158</v>
      </c>
      <c r="L66" s="11"/>
      <c r="M66" s="11"/>
      <c r="N66" s="11"/>
      <c r="O66" s="10">
        <f t="shared" si="1"/>
        <v>84460.921052631573</v>
      </c>
      <c r="P66">
        <f t="shared" si="2"/>
        <v>10180.92105263158</v>
      </c>
    </row>
    <row r="67" spans="1:16" ht="30" customHeight="1" x14ac:dyDescent="0.25">
      <c r="A67" s="24" t="s">
        <v>89</v>
      </c>
      <c r="B67" s="24"/>
      <c r="C67" s="6" t="s">
        <v>70</v>
      </c>
      <c r="D67" s="3">
        <v>113</v>
      </c>
      <c r="E67" s="2">
        <v>15</v>
      </c>
      <c r="F67" s="4">
        <v>1</v>
      </c>
      <c r="G67" s="12">
        <f>2195*2</f>
        <v>4390</v>
      </c>
      <c r="H67" s="9">
        <f t="shared" si="0"/>
        <v>52680</v>
      </c>
      <c r="I67" s="12"/>
      <c r="J67" s="12"/>
      <c r="K67" s="12">
        <v>7220.3947368421059</v>
      </c>
      <c r="L67" s="12"/>
      <c r="M67" s="12"/>
      <c r="N67" s="12"/>
      <c r="O67" s="10">
        <f t="shared" si="1"/>
        <v>59900.394736842107</v>
      </c>
      <c r="P67">
        <f t="shared" si="2"/>
        <v>7220.3947368421059</v>
      </c>
    </row>
    <row r="68" spans="1:16" ht="30" customHeight="1" x14ac:dyDescent="0.25">
      <c r="A68" s="24" t="s">
        <v>14</v>
      </c>
      <c r="B68" s="24"/>
      <c r="C68" s="6" t="s">
        <v>70</v>
      </c>
      <c r="D68" s="3">
        <v>113</v>
      </c>
      <c r="E68" s="2">
        <v>15</v>
      </c>
      <c r="F68" s="4">
        <v>2</v>
      </c>
      <c r="G68" s="11">
        <f>1880*2</f>
        <v>3760</v>
      </c>
      <c r="H68" s="9">
        <f t="shared" si="0"/>
        <v>90240</v>
      </c>
      <c r="I68" s="12"/>
      <c r="J68" s="12"/>
      <c r="K68" s="12">
        <v>6184.21052631579</v>
      </c>
      <c r="L68" s="12"/>
      <c r="M68" s="12"/>
      <c r="N68" s="12"/>
      <c r="O68" s="10">
        <f t="shared" si="1"/>
        <v>96424.210526315786</v>
      </c>
      <c r="P68">
        <f t="shared" si="2"/>
        <v>6184.21052631579</v>
      </c>
    </row>
    <row r="69" spans="1:16" ht="30" customHeight="1" x14ac:dyDescent="0.25">
      <c r="A69" s="24" t="s">
        <v>0</v>
      </c>
      <c r="B69" s="24"/>
      <c r="C69" s="6" t="s">
        <v>70</v>
      </c>
      <c r="D69" s="3">
        <v>113</v>
      </c>
      <c r="E69" s="2">
        <v>15</v>
      </c>
      <c r="F69" s="4">
        <v>1</v>
      </c>
      <c r="G69" s="12">
        <f>3282*2</f>
        <v>6564</v>
      </c>
      <c r="H69" s="9">
        <f t="shared" si="0"/>
        <v>78768</v>
      </c>
      <c r="I69" s="12"/>
      <c r="J69" s="12"/>
      <c r="K69" s="12">
        <v>10796.052631578948</v>
      </c>
      <c r="L69" s="12"/>
      <c r="M69" s="12"/>
      <c r="N69" s="12"/>
      <c r="O69" s="10">
        <f>SUM(H69:N69)</f>
        <v>89564.052631578947</v>
      </c>
      <c r="P69">
        <f t="shared" si="2"/>
        <v>10796.052631578948</v>
      </c>
    </row>
    <row r="70" spans="1:16" ht="30" customHeight="1" x14ac:dyDescent="0.25">
      <c r="A70" s="24" t="s">
        <v>4</v>
      </c>
      <c r="B70" s="24"/>
      <c r="C70" s="6" t="s">
        <v>70</v>
      </c>
      <c r="D70" s="3">
        <v>113</v>
      </c>
      <c r="E70" s="2">
        <v>15</v>
      </c>
      <c r="F70" s="4">
        <v>1</v>
      </c>
      <c r="G70" s="12">
        <f>2708*2</f>
        <v>5416</v>
      </c>
      <c r="H70" s="9">
        <f t="shared" ref="H70:H78" si="3">IF(E70="","SE REQUIERE ASIGNAR LA FUENTE DE FINANCIAMIENTO",IF(F70="","ES NECESARIO ESTABLECER EL NÚMERO DE PLAZAS",IF(G70="","SE NECESITA ESTABLECER UN MONTO MENSUAL",F70*G70*12)))</f>
        <v>64992</v>
      </c>
      <c r="I70" s="12"/>
      <c r="J70" s="12"/>
      <c r="K70" s="12">
        <v>8907.894736842105</v>
      </c>
      <c r="L70" s="12"/>
      <c r="M70" s="12"/>
      <c r="N70" s="12"/>
      <c r="O70" s="10">
        <f t="shared" ref="O70:O76" si="4">SUM(H70:N70)</f>
        <v>73899.894736842107</v>
      </c>
      <c r="P70">
        <f t="shared" ref="P70:P104" si="5">(G70/30.4)*50</f>
        <v>8907.894736842105</v>
      </c>
    </row>
    <row r="71" spans="1:16" ht="30" customHeight="1" x14ac:dyDescent="0.25">
      <c r="A71" s="24" t="s">
        <v>2</v>
      </c>
      <c r="B71" s="24"/>
      <c r="C71" s="6" t="s">
        <v>70</v>
      </c>
      <c r="D71" s="3">
        <v>113</v>
      </c>
      <c r="E71" s="2">
        <v>15</v>
      </c>
      <c r="F71" s="4">
        <v>1</v>
      </c>
      <c r="G71" s="12">
        <f>3998*2</f>
        <v>7996</v>
      </c>
      <c r="H71" s="9">
        <f t="shared" si="3"/>
        <v>95952</v>
      </c>
      <c r="I71" s="12"/>
      <c r="J71" s="12"/>
      <c r="K71" s="12">
        <v>13151.315789473685</v>
      </c>
      <c r="L71" s="12"/>
      <c r="M71" s="12"/>
      <c r="N71" s="12"/>
      <c r="O71" s="10">
        <f t="shared" si="4"/>
        <v>109103.31578947368</v>
      </c>
      <c r="P71">
        <f t="shared" si="5"/>
        <v>13151.315789473685</v>
      </c>
    </row>
    <row r="72" spans="1:16" ht="30" customHeight="1" x14ac:dyDescent="0.25">
      <c r="A72" s="24" t="s">
        <v>90</v>
      </c>
      <c r="B72" s="24"/>
      <c r="C72" s="6" t="s">
        <v>70</v>
      </c>
      <c r="D72" s="3">
        <v>113</v>
      </c>
      <c r="E72" s="2">
        <v>15</v>
      </c>
      <c r="F72" s="4">
        <v>3</v>
      </c>
      <c r="G72" s="12">
        <f>3063*2</f>
        <v>6126</v>
      </c>
      <c r="H72" s="9">
        <f t="shared" si="3"/>
        <v>220536</v>
      </c>
      <c r="I72" s="12"/>
      <c r="J72" s="12"/>
      <c r="K72" s="12">
        <v>10075.657894736842</v>
      </c>
      <c r="L72" s="12"/>
      <c r="M72" s="12"/>
      <c r="N72" s="12"/>
      <c r="O72" s="10">
        <f t="shared" si="4"/>
        <v>230611.65789473685</v>
      </c>
      <c r="P72">
        <f t="shared" si="5"/>
        <v>10075.657894736842</v>
      </c>
    </row>
    <row r="73" spans="1:16" ht="30" customHeight="1" x14ac:dyDescent="0.25">
      <c r="A73" s="24" t="s">
        <v>14</v>
      </c>
      <c r="B73" s="24"/>
      <c r="C73" s="6" t="s">
        <v>70</v>
      </c>
      <c r="D73" s="3">
        <v>113</v>
      </c>
      <c r="E73" s="2">
        <v>15</v>
      </c>
      <c r="F73" s="4">
        <v>2</v>
      </c>
      <c r="G73" s="12">
        <f>2708*2</f>
        <v>5416</v>
      </c>
      <c r="H73" s="9">
        <f t="shared" si="3"/>
        <v>129984</v>
      </c>
      <c r="I73" s="12"/>
      <c r="J73" s="12"/>
      <c r="K73" s="12">
        <v>8907.894736842105</v>
      </c>
      <c r="L73" s="12"/>
      <c r="M73" s="12"/>
      <c r="N73" s="12"/>
      <c r="O73" s="10">
        <f t="shared" si="4"/>
        <v>138891.89473684211</v>
      </c>
      <c r="P73">
        <f t="shared" si="5"/>
        <v>8907.894736842105</v>
      </c>
    </row>
    <row r="74" spans="1:16" ht="30" customHeight="1" x14ac:dyDescent="0.25">
      <c r="A74" s="24" t="s">
        <v>77</v>
      </c>
      <c r="B74" s="24"/>
      <c r="C74" s="6" t="s">
        <v>70</v>
      </c>
      <c r="D74" s="3">
        <v>113</v>
      </c>
      <c r="E74" s="2">
        <v>15</v>
      </c>
      <c r="F74" s="4">
        <v>2</v>
      </c>
      <c r="G74" s="12">
        <f>2610*2</f>
        <v>5220</v>
      </c>
      <c r="H74" s="9">
        <f t="shared" si="3"/>
        <v>125280</v>
      </c>
      <c r="I74" s="12"/>
      <c r="J74" s="12"/>
      <c r="K74" s="12">
        <v>8585.5263157894733</v>
      </c>
      <c r="L74" s="12"/>
      <c r="M74" s="12"/>
      <c r="N74" s="12"/>
      <c r="O74" s="10">
        <f t="shared" si="4"/>
        <v>133865.52631578947</v>
      </c>
      <c r="P74">
        <f t="shared" si="5"/>
        <v>8585.5263157894733</v>
      </c>
    </row>
    <row r="75" spans="1:16" ht="30" customHeight="1" x14ac:dyDescent="0.25">
      <c r="A75" s="41" t="s">
        <v>74</v>
      </c>
      <c r="B75" s="42"/>
      <c r="C75" s="6" t="s">
        <v>70</v>
      </c>
      <c r="D75" s="3">
        <v>113</v>
      </c>
      <c r="E75" s="2">
        <v>15</v>
      </c>
      <c r="F75" s="4">
        <v>1</v>
      </c>
      <c r="G75" s="12">
        <f>3913*2</f>
        <v>7826</v>
      </c>
      <c r="H75" s="9">
        <f t="shared" si="3"/>
        <v>93912</v>
      </c>
      <c r="I75" s="12"/>
      <c r="J75" s="12"/>
      <c r="K75" s="12">
        <v>12871.710526315788</v>
      </c>
      <c r="L75" s="12"/>
      <c r="M75" s="12"/>
      <c r="N75" s="12"/>
      <c r="O75" s="10"/>
      <c r="P75">
        <f t="shared" si="5"/>
        <v>12871.710526315788</v>
      </c>
    </row>
    <row r="76" spans="1:16" ht="30" customHeight="1" x14ac:dyDescent="0.25">
      <c r="A76" s="41" t="s">
        <v>75</v>
      </c>
      <c r="B76" s="42"/>
      <c r="C76" s="6" t="s">
        <v>70</v>
      </c>
      <c r="D76" s="3">
        <v>113</v>
      </c>
      <c r="E76" s="2">
        <v>15</v>
      </c>
      <c r="F76" s="4">
        <v>1</v>
      </c>
      <c r="G76" s="12">
        <f>4375*2</f>
        <v>8750</v>
      </c>
      <c r="H76" s="9">
        <f t="shared" si="3"/>
        <v>105000</v>
      </c>
      <c r="I76" s="12"/>
      <c r="J76" s="12"/>
      <c r="K76" s="12">
        <v>14391.447368421052</v>
      </c>
      <c r="L76" s="12"/>
      <c r="M76" s="12"/>
      <c r="N76" s="12"/>
      <c r="O76" s="10">
        <f t="shared" si="4"/>
        <v>119391.44736842105</v>
      </c>
      <c r="P76">
        <f t="shared" si="5"/>
        <v>14391.447368421052</v>
      </c>
    </row>
    <row r="77" spans="1:16" ht="30" customHeight="1" x14ac:dyDescent="0.25">
      <c r="A77" s="24" t="s">
        <v>1</v>
      </c>
      <c r="B77" s="24"/>
      <c r="C77" s="6" t="s">
        <v>70</v>
      </c>
      <c r="D77" s="3">
        <v>113</v>
      </c>
      <c r="E77" s="2">
        <v>15</v>
      </c>
      <c r="F77" s="4">
        <v>1</v>
      </c>
      <c r="G77" s="12">
        <f>3095*2</f>
        <v>6190</v>
      </c>
      <c r="H77" s="9">
        <f t="shared" si="3"/>
        <v>74280</v>
      </c>
      <c r="I77" s="12"/>
      <c r="J77" s="12"/>
      <c r="K77" s="12">
        <v>10180.92105263158</v>
      </c>
      <c r="L77" s="12"/>
      <c r="M77" s="12"/>
      <c r="N77" s="12"/>
      <c r="O77" s="10">
        <f t="shared" ref="O77:O78" si="6">SUM(H77:N77)</f>
        <v>84460.921052631573</v>
      </c>
      <c r="P77">
        <f t="shared" si="5"/>
        <v>10180.92105263158</v>
      </c>
    </row>
    <row r="78" spans="1:16" ht="25.5" customHeight="1" x14ac:dyDescent="0.25">
      <c r="A78" s="24" t="s">
        <v>92</v>
      </c>
      <c r="B78" s="24"/>
      <c r="C78" s="6" t="s">
        <v>91</v>
      </c>
      <c r="D78" s="3">
        <v>113</v>
      </c>
      <c r="E78" s="2">
        <v>15</v>
      </c>
      <c r="F78" s="4">
        <v>1</v>
      </c>
      <c r="G78" s="12">
        <f>1564*2</f>
        <v>3128</v>
      </c>
      <c r="H78" s="9">
        <f t="shared" si="3"/>
        <v>37536</v>
      </c>
      <c r="I78" s="12"/>
      <c r="J78" s="12"/>
      <c r="K78" s="12">
        <v>5144.7368421052633</v>
      </c>
      <c r="L78" s="12"/>
      <c r="M78" s="12"/>
      <c r="N78" s="12"/>
      <c r="O78" s="10">
        <f t="shared" si="6"/>
        <v>42680.736842105267</v>
      </c>
      <c r="P78">
        <f t="shared" si="5"/>
        <v>5144.7368421052633</v>
      </c>
    </row>
    <row r="79" spans="1:16" ht="25.5" customHeight="1" x14ac:dyDescent="0.25">
      <c r="A79" s="24" t="s">
        <v>92</v>
      </c>
      <c r="B79" s="24"/>
      <c r="C79" s="6" t="s">
        <v>91</v>
      </c>
      <c r="D79" s="3">
        <v>113</v>
      </c>
      <c r="E79" s="2">
        <v>15</v>
      </c>
      <c r="F79" s="4">
        <v>1</v>
      </c>
      <c r="G79" s="12">
        <f>1564*2</f>
        <v>3128</v>
      </c>
      <c r="H79" s="9">
        <f t="shared" ref="H79" si="7">IF(E79="","SE REQUIERE ASIGNAR LA FUENTE DE FINANCIAMIENTO",IF(F79="","ES NECESARIO ESTABLECER EL NÚMERO DE PLAZAS",IF(G79="","SE NECESITA ESTABLECER UN MONTO MENSUAL",F79*G79*12)))</f>
        <v>37536</v>
      </c>
      <c r="I79" s="12"/>
      <c r="J79" s="12"/>
      <c r="K79" s="12">
        <v>5144.7368421052633</v>
      </c>
      <c r="L79" s="12"/>
      <c r="M79" s="12"/>
      <c r="N79" s="12"/>
      <c r="O79" s="10">
        <f t="shared" ref="O79" si="8">SUM(H79:N79)</f>
        <v>42680.736842105267</v>
      </c>
      <c r="P79">
        <f t="shared" si="5"/>
        <v>5144.7368421052633</v>
      </c>
    </row>
    <row r="80" spans="1:16" ht="25.5" customHeight="1" x14ac:dyDescent="0.25">
      <c r="A80" s="24" t="s">
        <v>93</v>
      </c>
      <c r="B80" s="24"/>
      <c r="C80" s="6" t="s">
        <v>91</v>
      </c>
      <c r="D80" s="3">
        <v>113</v>
      </c>
      <c r="E80" s="2">
        <v>15</v>
      </c>
      <c r="F80" s="4">
        <v>1</v>
      </c>
      <c r="G80" s="12">
        <f>2922*2</f>
        <v>5844</v>
      </c>
      <c r="H80" s="9">
        <f t="shared" ref="H80" si="9">IF(E80="","SE REQUIERE ASIGNAR LA FUENTE DE FINANCIAMIENTO",IF(F80="","ES NECESARIO ESTABLECER EL NÚMERO DE PLAZAS",IF(G80="","SE NECESITA ESTABLECER UN MONTO MENSUAL",F80*G80*12)))</f>
        <v>70128</v>
      </c>
      <c r="I80" s="12"/>
      <c r="J80" s="12"/>
      <c r="K80" s="12">
        <v>9611.8421052631584</v>
      </c>
      <c r="L80" s="12"/>
      <c r="M80" s="12"/>
      <c r="N80" s="12"/>
      <c r="O80" s="10">
        <f t="shared" ref="O80" si="10">SUM(H80:N80)</f>
        <v>79739.84210526316</v>
      </c>
      <c r="P80">
        <f t="shared" si="5"/>
        <v>9611.8421052631584</v>
      </c>
    </row>
    <row r="81" spans="1:16" ht="25.5" customHeight="1" x14ac:dyDescent="0.25">
      <c r="A81" s="24" t="s">
        <v>14</v>
      </c>
      <c r="B81" s="24"/>
      <c r="C81" s="6" t="s">
        <v>91</v>
      </c>
      <c r="D81" s="3">
        <v>113</v>
      </c>
      <c r="E81" s="2">
        <v>15</v>
      </c>
      <c r="F81" s="4">
        <v>1</v>
      </c>
      <c r="G81" s="12">
        <v>2100</v>
      </c>
      <c r="H81" s="9">
        <f t="shared" ref="H81:H84" si="11">IF(E81="","SE REQUIERE ASIGNAR LA FUENTE DE FINANCIAMIENTO",IF(F81="","ES NECESARIO ESTABLECER EL NÚMERO DE PLAZAS",IF(G81="","SE NECESITA ESTABLECER UN MONTO MENSUAL",F81*G81*12)))</f>
        <v>25200</v>
      </c>
      <c r="I81" s="12"/>
      <c r="J81" s="12"/>
      <c r="K81" s="12">
        <v>3453.9473684210529</v>
      </c>
      <c r="L81" s="12"/>
      <c r="M81" s="12"/>
      <c r="N81" s="12"/>
      <c r="O81" s="10">
        <f t="shared" ref="O81:O84" si="12">SUM(H81:N81)</f>
        <v>28653.947368421053</v>
      </c>
      <c r="P81">
        <f t="shared" si="5"/>
        <v>3453.9473684210529</v>
      </c>
    </row>
    <row r="82" spans="1:16" ht="25.5" customHeight="1" x14ac:dyDescent="0.25">
      <c r="A82" s="24" t="s">
        <v>95</v>
      </c>
      <c r="B82" s="24"/>
      <c r="C82" s="6" t="s">
        <v>91</v>
      </c>
      <c r="D82" s="3">
        <v>113</v>
      </c>
      <c r="E82" s="2">
        <v>15</v>
      </c>
      <c r="F82" s="4">
        <v>2</v>
      </c>
      <c r="G82" s="12">
        <f>2342*2</f>
        <v>4684</v>
      </c>
      <c r="H82" s="9">
        <f t="shared" si="11"/>
        <v>112416</v>
      </c>
      <c r="I82" s="12"/>
      <c r="J82" s="12"/>
      <c r="K82" s="12">
        <v>7703.9473684210534</v>
      </c>
      <c r="L82" s="12"/>
      <c r="M82" s="12"/>
      <c r="N82" s="12"/>
      <c r="O82" s="10">
        <f t="shared" si="12"/>
        <v>120119.94736842105</v>
      </c>
      <c r="P82">
        <f t="shared" si="5"/>
        <v>7703.9473684210534</v>
      </c>
    </row>
    <row r="83" spans="1:16" ht="25.5" customHeight="1" x14ac:dyDescent="0.25">
      <c r="A83" s="24" t="s">
        <v>94</v>
      </c>
      <c r="B83" s="24"/>
      <c r="C83" s="6" t="s">
        <v>91</v>
      </c>
      <c r="D83" s="3">
        <v>113</v>
      </c>
      <c r="E83" s="2">
        <v>15</v>
      </c>
      <c r="F83" s="4">
        <v>1</v>
      </c>
      <c r="G83" s="12">
        <f>2153*2</f>
        <v>4306</v>
      </c>
      <c r="H83" s="9">
        <f t="shared" si="11"/>
        <v>51672</v>
      </c>
      <c r="I83" s="12"/>
      <c r="J83" s="12"/>
      <c r="K83" s="12">
        <v>7082.2368421052633</v>
      </c>
      <c r="L83" s="12"/>
      <c r="M83" s="12"/>
      <c r="N83" s="12"/>
      <c r="O83" s="10">
        <f t="shared" si="12"/>
        <v>58754.236842105267</v>
      </c>
      <c r="P83">
        <f t="shared" si="5"/>
        <v>7082.2368421052633</v>
      </c>
    </row>
    <row r="84" spans="1:16" ht="25.5" customHeight="1" x14ac:dyDescent="0.25">
      <c r="A84" s="24" t="s">
        <v>14</v>
      </c>
      <c r="B84" s="24"/>
      <c r="C84" s="6" t="s">
        <v>91</v>
      </c>
      <c r="D84" s="3">
        <v>113</v>
      </c>
      <c r="E84" s="2">
        <v>15</v>
      </c>
      <c r="F84" s="4">
        <v>1</v>
      </c>
      <c r="G84" s="12">
        <f>1933*2</f>
        <v>3866</v>
      </c>
      <c r="H84" s="9">
        <f t="shared" si="11"/>
        <v>46392</v>
      </c>
      <c r="I84" s="12"/>
      <c r="J84" s="12"/>
      <c r="K84" s="12">
        <v>6358.5526315789484</v>
      </c>
      <c r="L84" s="12"/>
      <c r="M84" s="12"/>
      <c r="N84" s="12"/>
      <c r="O84" s="10">
        <f t="shared" si="12"/>
        <v>52750.552631578947</v>
      </c>
      <c r="P84">
        <f t="shared" si="5"/>
        <v>6358.5526315789484</v>
      </c>
    </row>
    <row r="85" spans="1:16" ht="25.5" customHeight="1" x14ac:dyDescent="0.25">
      <c r="A85" s="24" t="s">
        <v>14</v>
      </c>
      <c r="B85" s="24"/>
      <c r="C85" s="6" t="s">
        <v>91</v>
      </c>
      <c r="D85" s="3">
        <v>113</v>
      </c>
      <c r="E85" s="2">
        <v>15</v>
      </c>
      <c r="F85" s="4">
        <v>1</v>
      </c>
      <c r="G85" s="12">
        <f>1046*2</f>
        <v>2092</v>
      </c>
      <c r="H85" s="9">
        <f t="shared" ref="H85:H104" si="13">IF(E85="","SE REQUIERE ASIGNAR LA FUENTE DE FINANCIAMIENTO",IF(F85="","ES NECESARIO ESTABLECER EL NÚMERO DE PLAZAS",IF(G85="","SE NECESITA ESTABLECER UN MONTO MENSUAL",F85*G85*12)))</f>
        <v>25104</v>
      </c>
      <c r="I85" s="12"/>
      <c r="J85" s="12"/>
      <c r="K85" s="12">
        <v>3440.7894736842109</v>
      </c>
      <c r="L85" s="12"/>
      <c r="M85" s="12"/>
      <c r="N85" s="12"/>
      <c r="O85" s="10">
        <f t="shared" ref="O85:O104" si="14">SUM(H85:N85)</f>
        <v>28544.78947368421</v>
      </c>
      <c r="P85">
        <f t="shared" si="5"/>
        <v>3440.7894736842109</v>
      </c>
    </row>
    <row r="86" spans="1:16" ht="25.5" customHeight="1" x14ac:dyDescent="0.25">
      <c r="A86" s="24" t="s">
        <v>14</v>
      </c>
      <c r="B86" s="24"/>
      <c r="C86" s="6" t="s">
        <v>91</v>
      </c>
      <c r="D86" s="3">
        <v>113</v>
      </c>
      <c r="E86" s="2">
        <v>15</v>
      </c>
      <c r="F86" s="4">
        <v>1</v>
      </c>
      <c r="G86" s="12">
        <f>1141*2</f>
        <v>2282</v>
      </c>
      <c r="H86" s="9">
        <f t="shared" si="13"/>
        <v>27384</v>
      </c>
      <c r="I86" s="12"/>
      <c r="J86" s="12"/>
      <c r="K86" s="12">
        <v>3753.2894736842109</v>
      </c>
      <c r="L86" s="12"/>
      <c r="M86" s="12"/>
      <c r="N86" s="12"/>
      <c r="O86" s="10">
        <f t="shared" si="14"/>
        <v>31137.28947368421</v>
      </c>
      <c r="P86">
        <f t="shared" si="5"/>
        <v>3753.2894736842109</v>
      </c>
    </row>
    <row r="87" spans="1:16" ht="25.5" customHeight="1" x14ac:dyDescent="0.25">
      <c r="A87" s="24" t="s">
        <v>96</v>
      </c>
      <c r="B87" s="24"/>
      <c r="C87" s="6" t="s">
        <v>91</v>
      </c>
      <c r="D87" s="3">
        <v>113</v>
      </c>
      <c r="E87" s="2">
        <v>15</v>
      </c>
      <c r="F87" s="4">
        <v>1</v>
      </c>
      <c r="G87" s="12">
        <f>3094*2</f>
        <v>6188</v>
      </c>
      <c r="H87" s="9">
        <f t="shared" si="13"/>
        <v>74256</v>
      </c>
      <c r="I87" s="12"/>
      <c r="J87" s="12"/>
      <c r="K87" s="12">
        <v>10177.631578947368</v>
      </c>
      <c r="L87" s="12"/>
      <c r="M87" s="12"/>
      <c r="N87" s="12"/>
      <c r="O87" s="10">
        <f t="shared" si="14"/>
        <v>84433.631578947374</v>
      </c>
      <c r="P87">
        <f t="shared" si="5"/>
        <v>10177.631578947368</v>
      </c>
    </row>
    <row r="88" spans="1:16" ht="25.5" customHeight="1" x14ac:dyDescent="0.25">
      <c r="A88" s="24" t="s">
        <v>97</v>
      </c>
      <c r="B88" s="24"/>
      <c r="C88" s="6" t="s">
        <v>91</v>
      </c>
      <c r="D88" s="3">
        <v>113</v>
      </c>
      <c r="E88" s="2">
        <v>15</v>
      </c>
      <c r="F88" s="4">
        <v>2</v>
      </c>
      <c r="G88" s="12">
        <v>8000</v>
      </c>
      <c r="H88" s="9">
        <f t="shared" si="13"/>
        <v>192000</v>
      </c>
      <c r="I88" s="12"/>
      <c r="J88" s="12"/>
      <c r="K88" s="12">
        <v>13157.894736842107</v>
      </c>
      <c r="L88" s="12"/>
      <c r="M88" s="12"/>
      <c r="N88" s="12"/>
      <c r="O88" s="10">
        <f t="shared" si="14"/>
        <v>205157.89473684211</v>
      </c>
      <c r="P88">
        <f t="shared" si="5"/>
        <v>13157.894736842107</v>
      </c>
    </row>
    <row r="89" spans="1:16" ht="25.5" customHeight="1" x14ac:dyDescent="0.25">
      <c r="A89" s="24" t="s">
        <v>87</v>
      </c>
      <c r="B89" s="24"/>
      <c r="C89" s="6" t="s">
        <v>91</v>
      </c>
      <c r="D89" s="3">
        <v>113</v>
      </c>
      <c r="E89" s="2">
        <v>15</v>
      </c>
      <c r="F89" s="4">
        <v>1</v>
      </c>
      <c r="G89" s="12">
        <f>8750*2</f>
        <v>17500</v>
      </c>
      <c r="H89" s="9">
        <f t="shared" si="13"/>
        <v>210000</v>
      </c>
      <c r="I89" s="12"/>
      <c r="J89" s="12"/>
      <c r="K89" s="12">
        <v>28782.894736842103</v>
      </c>
      <c r="L89" s="12"/>
      <c r="M89" s="12"/>
      <c r="N89" s="12"/>
      <c r="O89" s="10">
        <f t="shared" si="14"/>
        <v>238782.89473684211</v>
      </c>
      <c r="P89">
        <f t="shared" si="5"/>
        <v>28782.894736842103</v>
      </c>
    </row>
    <row r="90" spans="1:16" ht="25.5" customHeight="1" x14ac:dyDescent="0.25">
      <c r="A90" s="24" t="s">
        <v>98</v>
      </c>
      <c r="B90" s="24"/>
      <c r="C90" s="6" t="s">
        <v>91</v>
      </c>
      <c r="D90" s="3">
        <v>113</v>
      </c>
      <c r="E90" s="2">
        <v>15</v>
      </c>
      <c r="F90" s="4">
        <v>1</v>
      </c>
      <c r="G90" s="12">
        <f>2280*2</f>
        <v>4560</v>
      </c>
      <c r="H90" s="9">
        <f t="shared" si="13"/>
        <v>54720</v>
      </c>
      <c r="I90" s="12"/>
      <c r="J90" s="12"/>
      <c r="K90" s="12">
        <v>7500</v>
      </c>
      <c r="L90" s="12"/>
      <c r="M90" s="12"/>
      <c r="N90" s="12"/>
      <c r="O90" s="10">
        <f t="shared" si="14"/>
        <v>62220</v>
      </c>
      <c r="P90">
        <f t="shared" si="5"/>
        <v>7500</v>
      </c>
    </row>
    <row r="91" spans="1:16" ht="25.5" customHeight="1" x14ac:dyDescent="0.25">
      <c r="A91" s="24" t="s">
        <v>99</v>
      </c>
      <c r="B91" s="24"/>
      <c r="C91" s="6" t="s">
        <v>91</v>
      </c>
      <c r="D91" s="3">
        <v>113</v>
      </c>
      <c r="E91" s="2">
        <v>15</v>
      </c>
      <c r="F91" s="4">
        <v>1</v>
      </c>
      <c r="G91" s="12">
        <f>3930*2</f>
        <v>7860</v>
      </c>
      <c r="H91" s="9">
        <f t="shared" si="13"/>
        <v>94320</v>
      </c>
      <c r="I91" s="12"/>
      <c r="J91" s="12"/>
      <c r="K91" s="12">
        <v>12927.63157894737</v>
      </c>
      <c r="L91" s="12"/>
      <c r="M91" s="12"/>
      <c r="N91" s="12"/>
      <c r="O91" s="10">
        <f t="shared" si="14"/>
        <v>107247.63157894737</v>
      </c>
      <c r="P91">
        <f t="shared" si="5"/>
        <v>12927.63157894737</v>
      </c>
    </row>
    <row r="92" spans="1:16" ht="25.5" customHeight="1" x14ac:dyDescent="0.25">
      <c r="A92" s="24" t="s">
        <v>100</v>
      </c>
      <c r="B92" s="24"/>
      <c r="C92" s="6" t="s">
        <v>91</v>
      </c>
      <c r="D92" s="3">
        <v>113</v>
      </c>
      <c r="E92" s="2">
        <v>15</v>
      </c>
      <c r="F92" s="4">
        <v>1</v>
      </c>
      <c r="G92" s="12">
        <v>2560</v>
      </c>
      <c r="H92" s="9">
        <f t="shared" si="13"/>
        <v>30720</v>
      </c>
      <c r="I92" s="12"/>
      <c r="J92" s="12"/>
      <c r="K92" s="12">
        <v>4210.5263157894742</v>
      </c>
      <c r="L92" s="12"/>
      <c r="M92" s="12"/>
      <c r="N92" s="12"/>
      <c r="O92" s="10">
        <f t="shared" si="14"/>
        <v>34930.526315789473</v>
      </c>
      <c r="P92">
        <f t="shared" si="5"/>
        <v>4210.5263157894742</v>
      </c>
    </row>
    <row r="93" spans="1:16" ht="25.5" customHeight="1" x14ac:dyDescent="0.25">
      <c r="A93" s="24" t="s">
        <v>101</v>
      </c>
      <c r="B93" s="24"/>
      <c r="C93" s="6" t="s">
        <v>91</v>
      </c>
      <c r="D93" s="3">
        <v>113</v>
      </c>
      <c r="E93" s="2">
        <v>15</v>
      </c>
      <c r="F93" s="4">
        <v>1</v>
      </c>
      <c r="G93" s="12">
        <v>2153</v>
      </c>
      <c r="H93" s="9">
        <f t="shared" si="13"/>
        <v>25836</v>
      </c>
      <c r="I93" s="12"/>
      <c r="J93" s="12"/>
      <c r="K93" s="12">
        <v>3541.1184210526317</v>
      </c>
      <c r="L93" s="12"/>
      <c r="M93" s="12"/>
      <c r="N93" s="12"/>
      <c r="O93" s="10">
        <f t="shared" si="14"/>
        <v>29377.118421052633</v>
      </c>
      <c r="P93">
        <f t="shared" si="5"/>
        <v>3541.1184210526317</v>
      </c>
    </row>
    <row r="94" spans="1:16" ht="25.5" customHeight="1" x14ac:dyDescent="0.25">
      <c r="A94" s="24" t="s">
        <v>102</v>
      </c>
      <c r="B94" s="24"/>
      <c r="C94" s="6" t="s">
        <v>91</v>
      </c>
      <c r="D94" s="3">
        <v>113</v>
      </c>
      <c r="E94" s="2">
        <v>15</v>
      </c>
      <c r="F94" s="4">
        <v>1</v>
      </c>
      <c r="G94" s="12">
        <v>714</v>
      </c>
      <c r="H94" s="9">
        <f t="shared" si="13"/>
        <v>8568</v>
      </c>
      <c r="I94" s="12"/>
      <c r="J94" s="12"/>
      <c r="K94" s="12">
        <v>1174.3421052631579</v>
      </c>
      <c r="L94" s="12"/>
      <c r="M94" s="12"/>
      <c r="N94" s="12"/>
      <c r="O94" s="10">
        <f t="shared" si="14"/>
        <v>9742.3421052631584</v>
      </c>
      <c r="P94">
        <f t="shared" si="5"/>
        <v>1174.3421052631579</v>
      </c>
    </row>
    <row r="95" spans="1:16" ht="25.5" customHeight="1" x14ac:dyDescent="0.25">
      <c r="A95" s="24" t="s">
        <v>103</v>
      </c>
      <c r="B95" s="24"/>
      <c r="C95" s="6" t="s">
        <v>91</v>
      </c>
      <c r="D95" s="3">
        <v>113</v>
      </c>
      <c r="E95" s="2">
        <v>15</v>
      </c>
      <c r="F95" s="4">
        <v>1</v>
      </c>
      <c r="G95" s="12">
        <v>1292</v>
      </c>
      <c r="H95" s="9">
        <f t="shared" si="13"/>
        <v>15504</v>
      </c>
      <c r="I95" s="12"/>
      <c r="J95" s="12"/>
      <c r="K95" s="12">
        <v>2125</v>
      </c>
      <c r="L95" s="12"/>
      <c r="M95" s="12"/>
      <c r="N95" s="12"/>
      <c r="O95" s="10">
        <f t="shared" si="14"/>
        <v>17629</v>
      </c>
      <c r="P95">
        <f t="shared" si="5"/>
        <v>2125</v>
      </c>
    </row>
    <row r="96" spans="1:16" ht="25.5" customHeight="1" x14ac:dyDescent="0.25">
      <c r="A96" s="24" t="s">
        <v>103</v>
      </c>
      <c r="B96" s="24"/>
      <c r="C96" s="6" t="s">
        <v>91</v>
      </c>
      <c r="D96" s="3">
        <v>113</v>
      </c>
      <c r="E96" s="2">
        <v>15</v>
      </c>
      <c r="F96" s="4">
        <v>1</v>
      </c>
      <c r="G96" s="12">
        <v>2000</v>
      </c>
      <c r="H96" s="9">
        <f t="shared" si="13"/>
        <v>24000</v>
      </c>
      <c r="I96" s="12"/>
      <c r="J96" s="12"/>
      <c r="K96" s="12">
        <v>3289.4736842105267</v>
      </c>
      <c r="L96" s="12"/>
      <c r="M96" s="12"/>
      <c r="N96" s="12"/>
      <c r="O96" s="10">
        <f t="shared" si="14"/>
        <v>27289.473684210527</v>
      </c>
      <c r="P96">
        <f t="shared" si="5"/>
        <v>3289.4736842105267</v>
      </c>
    </row>
    <row r="97" spans="1:16" ht="25.5" customHeight="1" x14ac:dyDescent="0.25">
      <c r="A97" s="24" t="s">
        <v>104</v>
      </c>
      <c r="B97" s="24"/>
      <c r="C97" s="6" t="s">
        <v>91</v>
      </c>
      <c r="D97" s="3">
        <v>113</v>
      </c>
      <c r="E97" s="2">
        <v>15</v>
      </c>
      <c r="F97" s="4">
        <v>1</v>
      </c>
      <c r="G97" s="12">
        <v>2238</v>
      </c>
      <c r="H97" s="9">
        <f t="shared" si="13"/>
        <v>26856</v>
      </c>
      <c r="I97" s="12"/>
      <c r="J97" s="12"/>
      <c r="K97" s="12">
        <v>3680.9210526315796</v>
      </c>
      <c r="L97" s="12"/>
      <c r="M97" s="12"/>
      <c r="N97" s="12"/>
      <c r="O97" s="10">
        <f t="shared" si="14"/>
        <v>30536.92105263158</v>
      </c>
      <c r="P97">
        <f t="shared" si="5"/>
        <v>3680.9210526315796</v>
      </c>
    </row>
    <row r="98" spans="1:16" ht="25.5" customHeight="1" x14ac:dyDescent="0.25">
      <c r="A98" s="24" t="s">
        <v>14</v>
      </c>
      <c r="B98" s="24"/>
      <c r="C98" s="6" t="s">
        <v>91</v>
      </c>
      <c r="D98" s="3">
        <v>113</v>
      </c>
      <c r="E98" s="2">
        <v>15</v>
      </c>
      <c r="F98" s="4">
        <v>2</v>
      </c>
      <c r="G98" s="12">
        <v>2153</v>
      </c>
      <c r="H98" s="9">
        <f t="shared" si="13"/>
        <v>51672</v>
      </c>
      <c r="I98" s="12"/>
      <c r="J98" s="12"/>
      <c r="K98" s="12">
        <v>3541.1184210526317</v>
      </c>
      <c r="L98" s="12"/>
      <c r="M98" s="12"/>
      <c r="N98" s="12"/>
      <c r="O98" s="10">
        <f t="shared" si="14"/>
        <v>55213.118421052633</v>
      </c>
      <c r="P98">
        <f t="shared" si="5"/>
        <v>3541.1184210526317</v>
      </c>
    </row>
    <row r="99" spans="1:16" ht="25.5" customHeight="1" x14ac:dyDescent="0.25">
      <c r="A99" s="24" t="s">
        <v>105</v>
      </c>
      <c r="B99" s="24"/>
      <c r="C99" s="6" t="s">
        <v>91</v>
      </c>
      <c r="D99" s="3">
        <v>113</v>
      </c>
      <c r="E99" s="2">
        <v>15</v>
      </c>
      <c r="F99" s="4">
        <v>1</v>
      </c>
      <c r="G99" s="12">
        <v>5388</v>
      </c>
      <c r="H99" s="9">
        <f t="shared" si="13"/>
        <v>64656</v>
      </c>
      <c r="I99" s="12"/>
      <c r="J99" s="12"/>
      <c r="K99" s="12">
        <v>8861.8421052631584</v>
      </c>
      <c r="L99" s="12"/>
      <c r="M99" s="12"/>
      <c r="N99" s="12"/>
      <c r="O99" s="10">
        <f t="shared" si="14"/>
        <v>73517.84210526316</v>
      </c>
      <c r="P99">
        <f t="shared" si="5"/>
        <v>8861.8421052631584</v>
      </c>
    </row>
    <row r="100" spans="1:16" ht="25.5" customHeight="1" x14ac:dyDescent="0.25">
      <c r="A100" s="24" t="s">
        <v>106</v>
      </c>
      <c r="B100" s="24"/>
      <c r="C100" s="6" t="s">
        <v>91</v>
      </c>
      <c r="D100" s="3">
        <v>113</v>
      </c>
      <c r="E100" s="2">
        <v>15</v>
      </c>
      <c r="F100" s="4">
        <v>1</v>
      </c>
      <c r="G100" s="12">
        <v>5226</v>
      </c>
      <c r="H100" s="9">
        <f t="shared" si="13"/>
        <v>62712</v>
      </c>
      <c r="I100" s="12"/>
      <c r="J100" s="12"/>
      <c r="K100" s="12">
        <v>8595.394736842105</v>
      </c>
      <c r="L100" s="12"/>
      <c r="M100" s="12"/>
      <c r="N100" s="12"/>
      <c r="O100" s="10">
        <f t="shared" si="14"/>
        <v>71307.394736842107</v>
      </c>
      <c r="P100">
        <f t="shared" si="5"/>
        <v>8595.394736842105</v>
      </c>
    </row>
    <row r="101" spans="1:16" ht="25.5" customHeight="1" x14ac:dyDescent="0.25">
      <c r="A101" s="24" t="s">
        <v>107</v>
      </c>
      <c r="B101" s="24"/>
      <c r="C101" s="6" t="s">
        <v>91</v>
      </c>
      <c r="D101" s="3">
        <v>113</v>
      </c>
      <c r="E101" s="2">
        <v>15</v>
      </c>
      <c r="F101" s="4">
        <v>1</v>
      </c>
      <c r="G101" s="12">
        <v>4898</v>
      </c>
      <c r="H101" s="9">
        <f t="shared" si="13"/>
        <v>58776</v>
      </c>
      <c r="I101" s="12"/>
      <c r="J101" s="12"/>
      <c r="K101" s="12">
        <v>8055.9210526315792</v>
      </c>
      <c r="L101" s="12"/>
      <c r="M101" s="12"/>
      <c r="N101" s="12"/>
      <c r="O101" s="10">
        <f t="shared" si="14"/>
        <v>66831.921052631573</v>
      </c>
      <c r="P101">
        <f t="shared" si="5"/>
        <v>8055.9210526315792</v>
      </c>
    </row>
    <row r="102" spans="1:16" ht="25.5" customHeight="1" x14ac:dyDescent="0.25">
      <c r="A102" s="24" t="s">
        <v>108</v>
      </c>
      <c r="B102" s="24"/>
      <c r="C102" s="6" t="s">
        <v>109</v>
      </c>
      <c r="D102" s="3">
        <v>113</v>
      </c>
      <c r="E102" s="2">
        <v>15</v>
      </c>
      <c r="F102" s="4">
        <v>1</v>
      </c>
      <c r="G102" s="12">
        <f>3829*2</f>
        <v>7658</v>
      </c>
      <c r="H102" s="9">
        <f t="shared" si="13"/>
        <v>91896</v>
      </c>
      <c r="I102" s="12"/>
      <c r="J102" s="12"/>
      <c r="K102" s="12">
        <v>12595.394736842105</v>
      </c>
      <c r="L102" s="12"/>
      <c r="M102" s="12"/>
      <c r="N102" s="12"/>
      <c r="O102" s="10">
        <f t="shared" si="14"/>
        <v>104491.39473684211</v>
      </c>
      <c r="P102">
        <f t="shared" si="5"/>
        <v>12595.394736842105</v>
      </c>
    </row>
    <row r="103" spans="1:16" ht="25.5" customHeight="1" x14ac:dyDescent="0.25">
      <c r="A103" s="24" t="s">
        <v>110</v>
      </c>
      <c r="B103" s="24"/>
      <c r="C103" s="6" t="s">
        <v>111</v>
      </c>
      <c r="D103" s="3">
        <v>113</v>
      </c>
      <c r="E103" s="2">
        <v>15</v>
      </c>
      <c r="F103" s="4">
        <v>1</v>
      </c>
      <c r="G103" s="12">
        <f>3846*2</f>
        <v>7692</v>
      </c>
      <c r="H103" s="9">
        <f t="shared" si="13"/>
        <v>92304</v>
      </c>
      <c r="I103" s="12"/>
      <c r="J103" s="12"/>
      <c r="K103" s="12">
        <v>12651.315789473685</v>
      </c>
      <c r="L103" s="12"/>
      <c r="M103" s="12"/>
      <c r="N103" s="12"/>
      <c r="O103" s="10">
        <f t="shared" si="14"/>
        <v>104955.31578947368</v>
      </c>
      <c r="P103">
        <f t="shared" si="5"/>
        <v>12651.315789473685</v>
      </c>
    </row>
    <row r="104" spans="1:16" ht="25.5" customHeight="1" x14ac:dyDescent="0.25">
      <c r="A104" s="24" t="s">
        <v>87</v>
      </c>
      <c r="B104" s="24"/>
      <c r="C104" s="6" t="s">
        <v>111</v>
      </c>
      <c r="D104" s="3">
        <v>113</v>
      </c>
      <c r="E104" s="2">
        <v>15</v>
      </c>
      <c r="F104" s="4">
        <v>1</v>
      </c>
      <c r="G104" s="12">
        <f>2496*2</f>
        <v>4992</v>
      </c>
      <c r="H104" s="9">
        <f t="shared" si="13"/>
        <v>59904</v>
      </c>
      <c r="I104" s="12"/>
      <c r="J104" s="12"/>
      <c r="K104" s="12">
        <v>8210.5263157894733</v>
      </c>
      <c r="L104" s="12"/>
      <c r="M104" s="12"/>
      <c r="N104" s="12"/>
      <c r="O104" s="10">
        <f t="shared" si="14"/>
        <v>68114.526315789466</v>
      </c>
      <c r="P104">
        <f t="shared" si="5"/>
        <v>8210.5263157894733</v>
      </c>
    </row>
    <row r="105" spans="1:16" ht="25.5" customHeight="1" x14ac:dyDescent="0.25">
      <c r="A105" s="38" t="s">
        <v>112</v>
      </c>
      <c r="B105" s="39"/>
      <c r="C105" s="39"/>
      <c r="D105" s="39"/>
      <c r="E105" s="39"/>
      <c r="F105" s="40"/>
      <c r="G105" s="12">
        <f>SUM(G5:G104)</f>
        <v>647811</v>
      </c>
      <c r="H105" s="16">
        <f t="shared" ref="H105:O105" si="15">SUM(H5:H104)</f>
        <v>11743296</v>
      </c>
      <c r="I105" s="12">
        <f t="shared" si="15"/>
        <v>0</v>
      </c>
      <c r="J105" s="12">
        <f t="shared" si="15"/>
        <v>0</v>
      </c>
      <c r="K105" s="12">
        <f t="shared" si="15"/>
        <v>1065478.6184210528</v>
      </c>
      <c r="L105" s="12">
        <f t="shared" si="15"/>
        <v>0</v>
      </c>
      <c r="M105" s="12">
        <f t="shared" si="15"/>
        <v>0</v>
      </c>
      <c r="N105" s="12">
        <f t="shared" si="15"/>
        <v>0</v>
      </c>
      <c r="O105" s="12">
        <f t="shared" si="15"/>
        <v>12701990.907894734</v>
      </c>
    </row>
  </sheetData>
  <mergeCells count="111">
    <mergeCell ref="A59:B59"/>
    <mergeCell ref="A77:B77"/>
    <mergeCell ref="A72:B72"/>
    <mergeCell ref="A76:B76"/>
    <mergeCell ref="A78:B78"/>
    <mergeCell ref="A74:B74"/>
    <mergeCell ref="A68:B68"/>
    <mergeCell ref="A66:B66"/>
    <mergeCell ref="A69:B69"/>
    <mergeCell ref="A65:B65"/>
    <mergeCell ref="A62:B62"/>
    <mergeCell ref="A32:B32"/>
    <mergeCell ref="A58:B58"/>
    <mergeCell ref="A60:B60"/>
    <mergeCell ref="A61:B61"/>
    <mergeCell ref="A63:B63"/>
    <mergeCell ref="A67:B67"/>
    <mergeCell ref="A73:B73"/>
    <mergeCell ref="A70:B70"/>
    <mergeCell ref="A71:B71"/>
    <mergeCell ref="A54:B54"/>
    <mergeCell ref="A55:B55"/>
    <mergeCell ref="A56:B56"/>
    <mergeCell ref="A57:B57"/>
    <mergeCell ref="A64:B64"/>
    <mergeCell ref="A48:B48"/>
    <mergeCell ref="A49:B49"/>
    <mergeCell ref="A50:B50"/>
    <mergeCell ref="A51:B51"/>
    <mergeCell ref="A38:B38"/>
    <mergeCell ref="A39:B39"/>
    <mergeCell ref="A42:B42"/>
    <mergeCell ref="A35:B35"/>
    <mergeCell ref="A36:B36"/>
    <mergeCell ref="A37:B37"/>
    <mergeCell ref="A40:B40"/>
    <mergeCell ref="A41:B41"/>
    <mergeCell ref="A53:B53"/>
    <mergeCell ref="A43:B43"/>
    <mergeCell ref="A44:B44"/>
    <mergeCell ref="A45:B45"/>
    <mergeCell ref="A46:B46"/>
    <mergeCell ref="A47:B47"/>
    <mergeCell ref="A52:B52"/>
    <mergeCell ref="A28:B28"/>
    <mergeCell ref="A22:B22"/>
    <mergeCell ref="A23:B23"/>
    <mergeCell ref="A26:B26"/>
    <mergeCell ref="A29:B29"/>
    <mergeCell ref="A30:B30"/>
    <mergeCell ref="A31:B31"/>
    <mergeCell ref="A33:B33"/>
    <mergeCell ref="A34:B34"/>
    <mergeCell ref="A19:B19"/>
    <mergeCell ref="A21:B21"/>
    <mergeCell ref="A24:B24"/>
    <mergeCell ref="A27:B27"/>
    <mergeCell ref="A13:B13"/>
    <mergeCell ref="A15:B15"/>
    <mergeCell ref="A16:B16"/>
    <mergeCell ref="A20:B20"/>
    <mergeCell ref="A25:B25"/>
    <mergeCell ref="A17:B17"/>
    <mergeCell ref="A8:B8"/>
    <mergeCell ref="A7:B7"/>
    <mergeCell ref="A18:B18"/>
    <mergeCell ref="A14:B14"/>
    <mergeCell ref="A5:B5"/>
    <mergeCell ref="A6:B6"/>
    <mergeCell ref="A9:B9"/>
    <mergeCell ref="A10:B10"/>
    <mergeCell ref="A11:B11"/>
    <mergeCell ref="A12:B12"/>
    <mergeCell ref="A1:O1"/>
    <mergeCell ref="A2:B2"/>
    <mergeCell ref="C2:O2"/>
    <mergeCell ref="A3:B4"/>
    <mergeCell ref="C3:C4"/>
    <mergeCell ref="D3:D4"/>
    <mergeCell ref="E3:E4"/>
    <mergeCell ref="F3:F4"/>
    <mergeCell ref="G3:H3"/>
    <mergeCell ref="O3:O4"/>
    <mergeCell ref="A75:B75"/>
    <mergeCell ref="A80:B80"/>
    <mergeCell ref="A79:B79"/>
    <mergeCell ref="A85:B85"/>
    <mergeCell ref="A83:B83"/>
    <mergeCell ref="A82:B82"/>
    <mergeCell ref="A81:B81"/>
    <mergeCell ref="A86:B86"/>
    <mergeCell ref="A87:B87"/>
    <mergeCell ref="A84:B84"/>
    <mergeCell ref="A105:F105"/>
    <mergeCell ref="A100:B100"/>
    <mergeCell ref="A101:B101"/>
    <mergeCell ref="A102:B102"/>
    <mergeCell ref="A103:B103"/>
    <mergeCell ref="A104:B104"/>
    <mergeCell ref="A95:B95"/>
    <mergeCell ref="A96:B96"/>
    <mergeCell ref="A97:B97"/>
    <mergeCell ref="A98:B98"/>
    <mergeCell ref="A99:B99"/>
    <mergeCell ref="A90:B90"/>
    <mergeCell ref="A91:B91"/>
    <mergeCell ref="A92:B92"/>
    <mergeCell ref="A93:B93"/>
    <mergeCell ref="A94:B94"/>
    <mergeCell ref="A88:B88"/>
    <mergeCell ref="A89:B89"/>
  </mergeCells>
  <conditionalFormatting sqref="G5:G12 G16:G17 G21:G23 G67:G68 A7:B8 A13:C13 A15:C15 A17:C17 E18:F19 A20 E20:G20 E21:F24 A21:C24 A25 C25 A26:C41 A53:C57 A52 C52 E25:G61 G62:G64 F63:F65 A62:C62 F68 E62:F62 A63 A64:C66 E63:E68 C73 E75:E76 E74:F74 A68:C72 E69:G73 E77:F78 I19:N78 A43:C51 A42 C42 A74:C74 A75:A76 C75:C76 A77:C78 A83:B83 C84:C86 A87:C97 A99:B101 C98:C101 A102:C104 E80:G104 I80:N104 A105 G105:O105">
    <cfRule type="cellIs" dxfId="41" priority="48" operator="lessThanOrEqual">
      <formula>0</formula>
    </cfRule>
  </conditionalFormatting>
  <conditionalFormatting sqref="E5:F12 F15:F17 F13 E13:E17">
    <cfRule type="cellIs" dxfId="40" priority="47" operator="lessThanOrEqual">
      <formula>0</formula>
    </cfRule>
  </conditionalFormatting>
  <conditionalFormatting sqref="A11:B12 A18:C19 C63 C20">
    <cfRule type="cellIs" dxfId="39" priority="46" operator="lessThanOrEqual">
      <formula>0</formula>
    </cfRule>
  </conditionalFormatting>
  <conditionalFormatting sqref="I5:I17">
    <cfRule type="cellIs" dxfId="38" priority="45" operator="lessThanOrEqual">
      <formula>0</formula>
    </cfRule>
  </conditionalFormatting>
  <conditionalFormatting sqref="J5:J17">
    <cfRule type="cellIs" dxfId="37" priority="44" operator="lessThanOrEqual">
      <formula>0</formula>
    </cfRule>
  </conditionalFormatting>
  <conditionalFormatting sqref="K5:K17">
    <cfRule type="cellIs" dxfId="36" priority="43" operator="lessThanOrEqual">
      <formula>0</formula>
    </cfRule>
  </conditionalFormatting>
  <conditionalFormatting sqref="L5:L17">
    <cfRule type="cellIs" dxfId="35" priority="42" operator="lessThanOrEqual">
      <formula>0</formula>
    </cfRule>
  </conditionalFormatting>
  <conditionalFormatting sqref="M5:M17">
    <cfRule type="cellIs" dxfId="34" priority="41" operator="lessThanOrEqual">
      <formula>0</formula>
    </cfRule>
  </conditionalFormatting>
  <conditionalFormatting sqref="N5:N17">
    <cfRule type="cellIs" dxfId="33" priority="40" operator="lessThanOrEqual">
      <formula>0</formula>
    </cfRule>
  </conditionalFormatting>
  <conditionalFormatting sqref="F14">
    <cfRule type="cellIs" dxfId="32" priority="39" operator="lessThanOrEqual">
      <formula>0</formula>
    </cfRule>
  </conditionalFormatting>
  <conditionalFormatting sqref="G13">
    <cfRule type="cellIs" dxfId="31" priority="36" operator="lessThanOrEqual">
      <formula>0</formula>
    </cfRule>
  </conditionalFormatting>
  <conditionalFormatting sqref="G18:G19">
    <cfRule type="cellIs" dxfId="30" priority="38" operator="lessThanOrEqual">
      <formula>0</formula>
    </cfRule>
  </conditionalFormatting>
  <conditionalFormatting sqref="A16:C16">
    <cfRule type="cellIs" dxfId="29" priority="37" operator="lessThanOrEqual">
      <formula>0</formula>
    </cfRule>
  </conditionalFormatting>
  <conditionalFormatting sqref="G14">
    <cfRule type="cellIs" dxfId="28" priority="35" operator="lessThanOrEqual">
      <formula>0</formula>
    </cfRule>
  </conditionalFormatting>
  <conditionalFormatting sqref="G15">
    <cfRule type="cellIs" dxfId="27" priority="34" operator="lessThanOrEqual">
      <formula>0</formula>
    </cfRule>
  </conditionalFormatting>
  <conditionalFormatting sqref="G24">
    <cfRule type="cellIs" dxfId="26" priority="32" operator="lessThanOrEqual">
      <formula>0</formula>
    </cfRule>
  </conditionalFormatting>
  <conditionalFormatting sqref="G65:G66">
    <cfRule type="cellIs" dxfId="25" priority="31" operator="lessThanOrEqual">
      <formula>0</formula>
    </cfRule>
  </conditionalFormatting>
  <conditionalFormatting sqref="F66:F67">
    <cfRule type="cellIs" dxfId="24" priority="30" operator="lessThanOrEqual">
      <formula>0</formula>
    </cfRule>
  </conditionalFormatting>
  <conditionalFormatting sqref="G74">
    <cfRule type="cellIs" dxfId="23" priority="29" operator="lessThanOrEqual">
      <formula>0</formula>
    </cfRule>
  </conditionalFormatting>
  <conditionalFormatting sqref="F75">
    <cfRule type="cellIs" dxfId="22" priority="28" operator="lessThanOrEqual">
      <formula>0</formula>
    </cfRule>
  </conditionalFormatting>
  <conditionalFormatting sqref="G75">
    <cfRule type="cellIs" dxfId="21" priority="27" operator="lessThanOrEqual">
      <formula>0</formula>
    </cfRule>
  </conditionalFormatting>
  <conditionalFormatting sqref="F76">
    <cfRule type="cellIs" dxfId="20" priority="26" operator="lessThanOrEqual">
      <formula>0</formula>
    </cfRule>
  </conditionalFormatting>
  <conditionalFormatting sqref="G76:G78">
    <cfRule type="cellIs" dxfId="19" priority="25" operator="lessThanOrEqual">
      <formula>0</formula>
    </cfRule>
  </conditionalFormatting>
  <conditionalFormatting sqref="I18">
    <cfRule type="cellIs" dxfId="18" priority="21" operator="lessThanOrEqual">
      <formula>0</formula>
    </cfRule>
  </conditionalFormatting>
  <conditionalFormatting sqref="J18">
    <cfRule type="cellIs" dxfId="17" priority="20" operator="lessThanOrEqual">
      <formula>0</formula>
    </cfRule>
  </conditionalFormatting>
  <conditionalFormatting sqref="K18">
    <cfRule type="cellIs" dxfId="16" priority="19" operator="lessThanOrEqual">
      <formula>0</formula>
    </cfRule>
  </conditionalFormatting>
  <conditionalFormatting sqref="L18">
    <cfRule type="cellIs" dxfId="15" priority="18" operator="lessThanOrEqual">
      <formula>0</formula>
    </cfRule>
  </conditionalFormatting>
  <conditionalFormatting sqref="M18">
    <cfRule type="cellIs" dxfId="14" priority="17" operator="lessThanOrEqual">
      <formula>0</formula>
    </cfRule>
  </conditionalFormatting>
  <conditionalFormatting sqref="N18">
    <cfRule type="cellIs" dxfId="13" priority="16" operator="lessThanOrEqual">
      <formula>0</formula>
    </cfRule>
  </conditionalFormatting>
  <conditionalFormatting sqref="A14:B14">
    <cfRule type="cellIs" dxfId="12" priority="14" operator="lessThanOrEqual">
      <formula>0</formula>
    </cfRule>
  </conditionalFormatting>
  <conditionalFormatting sqref="C14">
    <cfRule type="cellIs" dxfId="11" priority="13" operator="lessThanOrEqual">
      <formula>0</formula>
    </cfRule>
  </conditionalFormatting>
  <conditionalFormatting sqref="A58:C59">
    <cfRule type="cellIs" dxfId="10" priority="12" operator="lessThanOrEqual">
      <formula>0</formula>
    </cfRule>
  </conditionalFormatting>
  <conditionalFormatting sqref="A60:C60">
    <cfRule type="cellIs" dxfId="9" priority="11" operator="lessThanOrEqual">
      <formula>0</formula>
    </cfRule>
  </conditionalFormatting>
  <conditionalFormatting sqref="A61:C61">
    <cfRule type="cellIs" dxfId="8" priority="10" operator="lessThanOrEqual">
      <formula>0</formula>
    </cfRule>
  </conditionalFormatting>
  <conditionalFormatting sqref="A67:C67">
    <cfRule type="cellIs" dxfId="7" priority="9" operator="lessThanOrEqual">
      <formula>0</formula>
    </cfRule>
  </conditionalFormatting>
  <conditionalFormatting sqref="A73:B73">
    <cfRule type="cellIs" dxfId="6" priority="8" operator="lessThanOrEqual">
      <formula>0</formula>
    </cfRule>
  </conditionalFormatting>
  <conditionalFormatting sqref="E79:F79 I79:N79 A79:C79">
    <cfRule type="cellIs" dxfId="5" priority="7" operator="lessThanOrEqual">
      <formula>0</formula>
    </cfRule>
  </conditionalFormatting>
  <conditionalFormatting sqref="G79">
    <cfRule type="cellIs" dxfId="4" priority="6" operator="lessThanOrEqual">
      <formula>0</formula>
    </cfRule>
  </conditionalFormatting>
  <conditionalFormatting sqref="A80:C80 C81 A82:C82 C83">
    <cfRule type="cellIs" dxfId="3" priority="5" operator="lessThanOrEqual">
      <formula>0</formula>
    </cfRule>
  </conditionalFormatting>
  <conditionalFormatting sqref="A81:B81">
    <cfRule type="cellIs" dxfId="2" priority="3" operator="lessThanOrEqual">
      <formula>0</formula>
    </cfRule>
  </conditionalFormatting>
  <conditionalFormatting sqref="A84:B86">
    <cfRule type="cellIs" dxfId="1" priority="2" operator="lessThanOrEqual">
      <formula>0</formula>
    </cfRule>
  </conditionalFormatting>
  <conditionalFormatting sqref="A98:B98">
    <cfRule type="cellIs" dxfId="0" priority="1" operator="lessThanOrEqual">
      <formula>0</formula>
    </cfRule>
  </conditionalFormatting>
  <dataValidations count="4">
    <dataValidation type="list" operator="greaterThanOrEqual" allowBlank="1" showInputMessage="1" showErrorMessage="1" errorTitle="Valor de la celda" error="La celda sólo permite números de la lista desplegable." sqref="E5:E6">
      <formula1>"11, 15, 16, 17"</formula1>
    </dataValidation>
    <dataValidation type="whole" operator="greaterThan" allowBlank="1" showInputMessage="1" showErrorMessage="1" errorTitle="Valor de la celda" error="La celda sólo permite números enteros y en positivo, favor de capturar cantidades sin centavos y evitar números en negativos." sqref="G5:G105 I5:N104 H105:O105">
      <formula1>0</formula1>
    </dataValidation>
    <dataValidation type="whole" operator="greaterThanOrEqual" allowBlank="1" showInputMessage="1" showErrorMessage="1" errorTitle="Valor de la celda" error="La celda sólo permite números enteros y en positivo, favor de capturar cantidades sin centavos y evitar números en negativos." sqref="F5:F104 D5:D104">
      <formula1>0</formula1>
    </dataValidation>
    <dataValidation type="list" operator="greaterThanOrEqual" allowBlank="1" showInputMessage="1" showErrorMessage="1" errorTitle="Valor de la celda" error="La celda sólo permite números de la lista desplegable." sqref="E7:E104">
      <formula1>"11, 14, 15, 16, 17, 25"</formula1>
    </dataValidation>
  </dataValidation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Lap2017</dc:creator>
  <cp:lastModifiedBy>Chuy</cp:lastModifiedBy>
  <dcterms:created xsi:type="dcterms:W3CDTF">2018-02-05T17:28:04Z</dcterms:created>
  <dcterms:modified xsi:type="dcterms:W3CDTF">2021-04-21T20:03:31Z</dcterms:modified>
</cp:coreProperties>
</file>